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N:\Think Tank\GENERAL\Calculators\ICR Calculator\Upload\"/>
    </mc:Choice>
  </mc:AlternateContent>
  <xr:revisionPtr revIDLastSave="0" documentId="13_ncr:1_{DC57F66B-6493-4401-8940-80EB5313E54B}" xr6:coauthVersionLast="47" xr6:coauthVersionMax="47" xr10:uidLastSave="{00000000-0000-0000-0000-000000000000}"/>
  <workbookProtection workbookAlgorithmName="SHA-512" workbookHashValue="D+pRdESO25zKPK+2Tj7VJnEqrh23KlkYsJ42fxgXmQR9M6eSKrxQN9+GC7epyxJ85x3CydUOENwHTEwO2zJY1Q==" workbookSaltValue="CbZeIxd5BIr1pTqx3HOtKA==" workbookSpinCount="100000" lockStructure="1"/>
  <bookViews>
    <workbookView xWindow="-120" yWindow="-120" windowWidth="29040" windowHeight="15720" activeTab="1" xr2:uid="{90F602FE-12B8-4FFA-9B1D-D15802FBBBF4}"/>
  </bookViews>
  <sheets>
    <sheet name="Serviceability" sheetId="2" r:id="rId1"/>
    <sheet name="Applicants" sheetId="3" r:id="rId2"/>
    <sheet name="Loans" sheetId="4" r:id="rId3"/>
    <sheet name="Properties &amp; Ind Income" sheetId="5" r:id="rId4"/>
    <sheet name="Company Profit &amp; Loss" sheetId="6" r:id="rId5"/>
    <sheet name="Partnership Profit &amp; Loss" sheetId="7" r:id="rId6"/>
    <sheet name="Trust Profit &amp; Loss" sheetId="8" r:id="rId7"/>
    <sheet name="Sole Trader Profit &amp; Loss" sheetId="9" r:id="rId8"/>
    <sheet name="Balance Sheet" sheetId="10" r:id="rId9"/>
    <sheet name="SMSF Calculator" sheetId="11" state="hidden" r:id="rId10"/>
    <sheet name="Assumptions" sheetId="12" state="hidden" r:id="rId11"/>
  </sheets>
  <externalReferences>
    <externalReference r:id="rId12"/>
  </externalReferences>
  <definedNames>
    <definedName name="AllLogos">Assumptions!$D$2899:$D$2913</definedName>
    <definedName name="ApplicationDate">Applicants!$B$3</definedName>
    <definedName name="Branding">Assumptions!$S$3</definedName>
    <definedName name="CalculatorType">Assumptions!$S$6</definedName>
    <definedName name="Easyrefi">Assumptions!$I$13</definedName>
    <definedName name="FinancialsYear">Applicants!$C$5</definedName>
    <definedName name="GST">Assumptions!$G$13</definedName>
    <definedName name="indirect">'SMSF Calculator'!$AG$56</definedName>
    <definedName name="LogoLookup">INDEX(AllLogos, MATCH(Branding,LogoNames,0))</definedName>
    <definedName name="LogoNames">Assumptions!$G$2899:$G$2913</definedName>
    <definedName name="LogoTable">#REF!</definedName>
    <definedName name="NCCL">Assumptions!$H$13</definedName>
    <definedName name="Pictures">INDEX(Assumptions!$C$2899:$D$2913,MATCH(SaveFileName,Assumptions!$C$2899:$C$2913,0),2)</definedName>
    <definedName name="_xlnm.Print_Area" localSheetId="1">Applicants!$A$1:$P$41</definedName>
    <definedName name="_xlnm.Print_Area" localSheetId="8">'Balance Sheet'!$A$1:$R$47</definedName>
    <definedName name="_xlnm.Print_Area" localSheetId="4">'Company Profit &amp; Loss'!$B$1:$X$43</definedName>
    <definedName name="_xlnm.Print_Area" localSheetId="2">Loans!$A$1:$Q$41</definedName>
    <definedName name="_xlnm.Print_Area" localSheetId="5">'Partnership Profit &amp; Loss'!$B$1:$X$43</definedName>
    <definedName name="_xlnm.Print_Area" localSheetId="3">'Properties &amp; Ind Income'!$A$1:$Q$30</definedName>
    <definedName name="_xlnm.Print_Area" localSheetId="0">Serviceability!$A$1:$R$35</definedName>
    <definedName name="_xlnm.Print_Area" localSheetId="7">'Sole Trader Profit &amp; Loss'!$B$1:$X$43</definedName>
    <definedName name="_xlnm.Print_Area" localSheetId="6">'Trust Profit &amp; Loss'!$B$1:$X$43</definedName>
    <definedName name="SaveFileName">Assumptions!$S$3</definedName>
    <definedName name="SheetsToInclude">[1]Macros!#REF!</definedName>
    <definedName name="SMSF">Assumptions!$F$13:$F$14</definedName>
    <definedName name="SMSFEasyRefi">Assumptions!$I$13:$I$14</definedName>
    <definedName name="TopUpLoan">Assumptions!$J$13</definedName>
    <definedName name="wrn.ca." localSheetId="8" hidden="1">{#N/A,#N/A,FALSE,"spread1";#N/A,#N/A,FALSE,"Cover";#N/A,#N/A,FALSE,"Summary";#N/A,#N/A,FALSE,"C&amp;C";#N/A,#N/A,FALSE,"spread2"}</definedName>
    <definedName name="wrn.ca." localSheetId="9" hidden="1">{#N/A,#N/A,FALSE,"spread1";#N/A,#N/A,FALSE,"Cover";#N/A,#N/A,FALSE,"Summary";#N/A,#N/A,FALSE,"C&amp;C";#N/A,#N/A,FALSE,"spread2"}</definedName>
    <definedName name="wrn.ca." hidden="1">{#N/A,#N/A,FALSE,"spread1";#N/A,#N/A,FALSE,"Cover";#N/A,#N/A,FALSE,"Summary";#N/A,#N/A,FALSE,"C&amp;C";#N/A,#N/A,FALSE,"spread2"}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2906" i="12" l="1"/>
  <c r="G2902" i="12"/>
  <c r="I2891" i="12"/>
  <c r="H2891" i="12"/>
  <c r="I2890" i="12"/>
  <c r="H2890" i="12"/>
  <c r="I2889" i="12"/>
  <c r="H2889" i="12"/>
  <c r="I2888" i="12"/>
  <c r="I2887" i="12"/>
  <c r="H2887" i="12"/>
  <c r="I2886" i="12"/>
  <c r="H2886" i="12"/>
  <c r="I2885" i="12"/>
  <c r="H2885" i="12"/>
  <c r="I2884" i="12"/>
  <c r="H2884" i="12"/>
  <c r="I2883" i="12"/>
  <c r="H2883" i="12"/>
  <c r="I2882" i="12"/>
  <c r="H2882" i="12"/>
  <c r="I2881" i="12"/>
  <c r="H2881" i="12"/>
  <c r="I2880" i="12"/>
  <c r="H2880" i="12"/>
  <c r="I2879" i="12"/>
  <c r="H2879" i="12"/>
  <c r="I2878" i="12"/>
  <c r="H2878" i="12"/>
  <c r="I2877" i="12"/>
  <c r="H2877" i="12"/>
  <c r="I2876" i="12"/>
  <c r="H2876" i="12"/>
  <c r="I2875" i="12"/>
  <c r="H2875" i="12"/>
  <c r="I2874" i="12"/>
  <c r="H2874" i="12"/>
  <c r="I2873" i="12"/>
  <c r="H2873" i="12"/>
  <c r="I2872" i="12"/>
  <c r="H2872" i="12"/>
  <c r="I2871" i="12"/>
  <c r="H2871" i="12"/>
  <c r="I2870" i="12"/>
  <c r="H2870" i="12"/>
  <c r="I2869" i="12"/>
  <c r="H2869" i="12"/>
  <c r="I2868" i="12"/>
  <c r="H2868" i="12"/>
  <c r="I2867" i="12"/>
  <c r="H2867" i="12"/>
  <c r="I2866" i="12"/>
  <c r="H2866" i="12"/>
  <c r="I2865" i="12"/>
  <c r="H2865" i="12"/>
  <c r="I2864" i="12"/>
  <c r="H2864" i="12"/>
  <c r="I2863" i="12"/>
  <c r="H2863" i="12"/>
  <c r="I2862" i="12"/>
  <c r="H2862" i="12"/>
  <c r="I2861" i="12"/>
  <c r="H2861" i="12"/>
  <c r="I2860" i="12"/>
  <c r="H2860" i="12"/>
  <c r="I2859" i="12"/>
  <c r="H2859" i="12"/>
  <c r="I2858" i="12"/>
  <c r="H2858" i="12"/>
  <c r="I2857" i="12"/>
  <c r="H2857" i="12"/>
  <c r="I2856" i="12"/>
  <c r="H2856" i="12"/>
  <c r="I2855" i="12"/>
  <c r="H2855" i="12"/>
  <c r="I2854" i="12"/>
  <c r="H2854" i="12"/>
  <c r="I2853" i="12"/>
  <c r="H2853" i="12"/>
  <c r="I2852" i="12"/>
  <c r="H2852" i="12"/>
  <c r="I2851" i="12"/>
  <c r="H2851" i="12"/>
  <c r="I2850" i="12"/>
  <c r="H2850" i="12"/>
  <c r="I2849" i="12"/>
  <c r="H2849" i="12"/>
  <c r="I2848" i="12"/>
  <c r="H2848" i="12"/>
  <c r="I2847" i="12"/>
  <c r="H2847" i="12"/>
  <c r="I2846" i="12"/>
  <c r="H2846" i="12"/>
  <c r="I2845" i="12"/>
  <c r="H2845" i="12"/>
  <c r="I2844" i="12"/>
  <c r="H2844" i="12"/>
  <c r="I2843" i="12"/>
  <c r="H2843" i="12"/>
  <c r="I2842" i="12"/>
  <c r="H2842" i="12"/>
  <c r="I2841" i="12"/>
  <c r="H2841" i="12"/>
  <c r="I2840" i="12"/>
  <c r="H2840" i="12"/>
  <c r="I2839" i="12"/>
  <c r="H2839" i="12"/>
  <c r="I2838" i="12"/>
  <c r="H2838" i="12"/>
  <c r="I2837" i="12"/>
  <c r="H2837" i="12"/>
  <c r="I2836" i="12"/>
  <c r="H2836" i="12"/>
  <c r="I2835" i="12"/>
  <c r="H2835" i="12"/>
  <c r="I2834" i="12"/>
  <c r="H2834" i="12"/>
  <c r="I2833" i="12"/>
  <c r="H2833" i="12"/>
  <c r="I2832" i="12"/>
  <c r="H2832" i="12"/>
  <c r="I2831" i="12"/>
  <c r="H2831" i="12"/>
  <c r="I2830" i="12"/>
  <c r="H2830" i="12"/>
  <c r="I2829" i="12"/>
  <c r="H2829" i="12"/>
  <c r="I2828" i="12"/>
  <c r="H2828" i="12"/>
  <c r="I2827" i="12"/>
  <c r="H2827" i="12"/>
  <c r="I2826" i="12"/>
  <c r="H2826" i="12"/>
  <c r="I2825" i="12"/>
  <c r="H2825" i="12"/>
  <c r="I2824" i="12"/>
  <c r="H2824" i="12"/>
  <c r="I2823" i="12"/>
  <c r="H2823" i="12"/>
  <c r="I2822" i="12"/>
  <c r="H2822" i="12"/>
  <c r="I2821" i="12"/>
  <c r="H2821" i="12"/>
  <c r="I2820" i="12"/>
  <c r="H2820" i="12"/>
  <c r="I2819" i="12"/>
  <c r="H2819" i="12"/>
  <c r="I2818" i="12"/>
  <c r="H2818" i="12"/>
  <c r="I2817" i="12"/>
  <c r="H2817" i="12"/>
  <c r="I2816" i="12"/>
  <c r="H2816" i="12"/>
  <c r="I2815" i="12"/>
  <c r="H2815" i="12"/>
  <c r="I2814" i="12"/>
  <c r="H2814" i="12"/>
  <c r="I2813" i="12"/>
  <c r="H2813" i="12"/>
  <c r="I2812" i="12"/>
  <c r="H2812" i="12"/>
  <c r="I2811" i="12"/>
  <c r="H2811" i="12"/>
  <c r="I2810" i="12"/>
  <c r="H2810" i="12"/>
  <c r="I2809" i="12"/>
  <c r="H2809" i="12"/>
  <c r="I2808" i="12"/>
  <c r="H2808" i="12"/>
  <c r="I2807" i="12"/>
  <c r="H2807" i="12"/>
  <c r="I2806" i="12"/>
  <c r="H2806" i="12"/>
  <c r="I2805" i="12"/>
  <c r="H2805" i="12"/>
  <c r="I2804" i="12"/>
  <c r="H2804" i="12"/>
  <c r="I2803" i="12"/>
  <c r="H2803" i="12"/>
  <c r="I2802" i="12"/>
  <c r="H2802" i="12"/>
  <c r="I2801" i="12"/>
  <c r="H2801" i="12"/>
  <c r="I2800" i="12"/>
  <c r="H2800" i="12"/>
  <c r="I2799" i="12"/>
  <c r="H2799" i="12"/>
  <c r="I2798" i="12"/>
  <c r="H2798" i="12"/>
  <c r="I2797" i="12"/>
  <c r="H2797" i="12"/>
  <c r="I2796" i="12"/>
  <c r="H2796" i="12"/>
  <c r="I2795" i="12"/>
  <c r="H2795" i="12"/>
  <c r="I2794" i="12"/>
  <c r="H2794" i="12"/>
  <c r="I2793" i="12"/>
  <c r="H2793" i="12"/>
  <c r="I2792" i="12"/>
  <c r="H2792" i="12"/>
  <c r="I2791" i="12"/>
  <c r="H2791" i="12"/>
  <c r="I2790" i="12"/>
  <c r="H2790" i="12"/>
  <c r="I2789" i="12"/>
  <c r="H2789" i="12"/>
  <c r="I2788" i="12"/>
  <c r="H2788" i="12"/>
  <c r="I2787" i="12"/>
  <c r="H2787" i="12"/>
  <c r="I2786" i="12"/>
  <c r="H2786" i="12"/>
  <c r="I2785" i="12"/>
  <c r="H2785" i="12"/>
  <c r="I2784" i="12"/>
  <c r="H2784" i="12"/>
  <c r="I2783" i="12"/>
  <c r="H2783" i="12"/>
  <c r="I2782" i="12"/>
  <c r="H2782" i="12"/>
  <c r="I2781" i="12"/>
  <c r="H2781" i="12"/>
  <c r="I2780" i="12"/>
  <c r="H2780" i="12"/>
  <c r="I2779" i="12"/>
  <c r="H2779" i="12"/>
  <c r="I2778" i="12"/>
  <c r="H2778" i="12"/>
  <c r="I2777" i="12"/>
  <c r="H2777" i="12"/>
  <c r="I2776" i="12"/>
  <c r="H2776" i="12"/>
  <c r="I2775" i="12"/>
  <c r="H2775" i="12"/>
  <c r="I2774" i="12"/>
  <c r="H2774" i="12"/>
  <c r="I2773" i="12"/>
  <c r="H2773" i="12"/>
  <c r="I2772" i="12"/>
  <c r="H2772" i="12"/>
  <c r="I2771" i="12"/>
  <c r="H2771" i="12"/>
  <c r="I2770" i="12"/>
  <c r="H2770" i="12"/>
  <c r="I2769" i="12"/>
  <c r="H2769" i="12"/>
  <c r="I2768" i="12"/>
  <c r="H2768" i="12"/>
  <c r="I2767" i="12"/>
  <c r="H2767" i="12"/>
  <c r="I2766" i="12"/>
  <c r="H2766" i="12"/>
  <c r="I2765" i="12"/>
  <c r="H2765" i="12"/>
  <c r="I2764" i="12"/>
  <c r="H2764" i="12"/>
  <c r="I2763" i="12"/>
  <c r="H2763" i="12"/>
  <c r="I2762" i="12"/>
  <c r="H2762" i="12"/>
  <c r="I2761" i="12"/>
  <c r="H2761" i="12"/>
  <c r="I2760" i="12"/>
  <c r="H2760" i="12"/>
  <c r="I2759" i="12"/>
  <c r="H2759" i="12"/>
  <c r="I2758" i="12"/>
  <c r="H2758" i="12"/>
  <c r="I2757" i="12"/>
  <c r="H2757" i="12"/>
  <c r="I2756" i="12"/>
  <c r="H2756" i="12"/>
  <c r="I2755" i="12"/>
  <c r="H2755" i="12"/>
  <c r="I2754" i="12"/>
  <c r="H2754" i="12"/>
  <c r="I2753" i="12"/>
  <c r="H2753" i="12"/>
  <c r="I2752" i="12"/>
  <c r="H2752" i="12"/>
  <c r="I2751" i="12"/>
  <c r="H2751" i="12"/>
  <c r="I2750" i="12"/>
  <c r="H2750" i="12"/>
  <c r="I2749" i="12"/>
  <c r="H2749" i="12"/>
  <c r="I2748" i="12"/>
  <c r="H2748" i="12"/>
  <c r="I2747" i="12"/>
  <c r="H2747" i="12"/>
  <c r="I2746" i="12"/>
  <c r="H2746" i="12"/>
  <c r="I2745" i="12"/>
  <c r="H2745" i="12"/>
  <c r="I2744" i="12"/>
  <c r="H2744" i="12"/>
  <c r="I2743" i="12"/>
  <c r="H2743" i="12"/>
  <c r="I2742" i="12"/>
  <c r="H2742" i="12"/>
  <c r="I2741" i="12"/>
  <c r="H2741" i="12"/>
  <c r="I2740" i="12"/>
  <c r="H2740" i="12"/>
  <c r="I2739" i="12"/>
  <c r="H2739" i="12"/>
  <c r="I2738" i="12"/>
  <c r="H2738" i="12"/>
  <c r="I2737" i="12"/>
  <c r="H2737" i="12"/>
  <c r="I2736" i="12"/>
  <c r="H2736" i="12"/>
  <c r="I2735" i="12"/>
  <c r="H2735" i="12"/>
  <c r="I2734" i="12"/>
  <c r="H2734" i="12"/>
  <c r="I2733" i="12"/>
  <c r="H2733" i="12"/>
  <c r="I2732" i="12"/>
  <c r="H2732" i="12"/>
  <c r="I2731" i="12"/>
  <c r="H2731" i="12"/>
  <c r="I2730" i="12"/>
  <c r="H2730" i="12"/>
  <c r="I2729" i="12"/>
  <c r="H2729" i="12"/>
  <c r="I2728" i="12"/>
  <c r="H2728" i="12"/>
  <c r="I2727" i="12"/>
  <c r="H2727" i="12"/>
  <c r="I2726" i="12"/>
  <c r="H2726" i="12"/>
  <c r="I2725" i="12"/>
  <c r="H2725" i="12"/>
  <c r="I2724" i="12"/>
  <c r="H2724" i="12"/>
  <c r="I2723" i="12"/>
  <c r="H2723" i="12"/>
  <c r="I2722" i="12"/>
  <c r="H2722" i="12"/>
  <c r="I2721" i="12"/>
  <c r="H2721" i="12"/>
  <c r="I2720" i="12"/>
  <c r="H2720" i="12"/>
  <c r="I2719" i="12"/>
  <c r="H2719" i="12"/>
  <c r="I2718" i="12"/>
  <c r="H2718" i="12"/>
  <c r="I2717" i="12"/>
  <c r="H2717" i="12"/>
  <c r="I2716" i="12"/>
  <c r="H2716" i="12"/>
  <c r="I2715" i="12"/>
  <c r="H2715" i="12"/>
  <c r="I2714" i="12"/>
  <c r="H2714" i="12"/>
  <c r="I2713" i="12"/>
  <c r="H2713" i="12"/>
  <c r="I2712" i="12"/>
  <c r="H2712" i="12"/>
  <c r="I2711" i="12"/>
  <c r="H2711" i="12"/>
  <c r="I2710" i="12"/>
  <c r="H2710" i="12"/>
  <c r="I2709" i="12"/>
  <c r="H2709" i="12"/>
  <c r="I2708" i="12"/>
  <c r="H2708" i="12"/>
  <c r="I2707" i="12"/>
  <c r="H2707" i="12"/>
  <c r="I2706" i="12"/>
  <c r="H2706" i="12"/>
  <c r="I2705" i="12"/>
  <c r="H2705" i="12"/>
  <c r="I2704" i="12"/>
  <c r="H2704" i="12"/>
  <c r="I2703" i="12"/>
  <c r="H2703" i="12"/>
  <c r="I2702" i="12"/>
  <c r="H2702" i="12"/>
  <c r="I2701" i="12"/>
  <c r="H2701" i="12"/>
  <c r="I2700" i="12"/>
  <c r="H2700" i="12"/>
  <c r="I2699" i="12"/>
  <c r="H2699" i="12"/>
  <c r="I2698" i="12"/>
  <c r="H2698" i="12"/>
  <c r="I2697" i="12"/>
  <c r="H2697" i="12"/>
  <c r="I2696" i="12"/>
  <c r="H2696" i="12"/>
  <c r="I2695" i="12"/>
  <c r="H2695" i="12"/>
  <c r="I2694" i="12"/>
  <c r="H2694" i="12"/>
  <c r="I2693" i="12"/>
  <c r="H2693" i="12"/>
  <c r="I2692" i="12"/>
  <c r="H2692" i="12"/>
  <c r="I2691" i="12"/>
  <c r="H2691" i="12"/>
  <c r="I2690" i="12"/>
  <c r="H2690" i="12"/>
  <c r="I2689" i="12"/>
  <c r="H2689" i="12"/>
  <c r="I2688" i="12"/>
  <c r="H2688" i="12"/>
  <c r="I2687" i="12"/>
  <c r="H2687" i="12"/>
  <c r="I2686" i="12"/>
  <c r="H2686" i="12"/>
  <c r="I2685" i="12"/>
  <c r="H2685" i="12"/>
  <c r="I2684" i="12"/>
  <c r="H2684" i="12"/>
  <c r="I2683" i="12"/>
  <c r="H2683" i="12"/>
  <c r="I2682" i="12"/>
  <c r="H2682" i="12"/>
  <c r="I2681" i="12"/>
  <c r="H2681" i="12"/>
  <c r="I2680" i="12"/>
  <c r="H2680" i="12"/>
  <c r="I2679" i="12"/>
  <c r="H2679" i="12"/>
  <c r="I2678" i="12"/>
  <c r="H2678" i="12"/>
  <c r="I2677" i="12"/>
  <c r="H2677" i="12"/>
  <c r="I2676" i="12"/>
  <c r="H2676" i="12"/>
  <c r="I2675" i="12"/>
  <c r="H2675" i="12"/>
  <c r="I2674" i="12"/>
  <c r="H2674" i="12"/>
  <c r="I2673" i="12"/>
  <c r="H2673" i="12"/>
  <c r="I2672" i="12"/>
  <c r="H2672" i="12"/>
  <c r="I2671" i="12"/>
  <c r="H2671" i="12"/>
  <c r="I2670" i="12"/>
  <c r="H2670" i="12"/>
  <c r="I2669" i="12"/>
  <c r="H2669" i="12"/>
  <c r="I2668" i="12"/>
  <c r="H2668" i="12"/>
  <c r="I2667" i="12"/>
  <c r="H2667" i="12"/>
  <c r="I2666" i="12"/>
  <c r="H2666" i="12"/>
  <c r="I2665" i="12"/>
  <c r="H2665" i="12"/>
  <c r="I2664" i="12"/>
  <c r="H2664" i="12"/>
  <c r="I2663" i="12"/>
  <c r="H2663" i="12"/>
  <c r="I2662" i="12"/>
  <c r="H2662" i="12"/>
  <c r="I2661" i="12"/>
  <c r="H2661" i="12"/>
  <c r="I2660" i="12"/>
  <c r="H2660" i="12"/>
  <c r="I2659" i="12"/>
  <c r="H2659" i="12"/>
  <c r="I2658" i="12"/>
  <c r="H2658" i="12"/>
  <c r="I2657" i="12"/>
  <c r="H2657" i="12"/>
  <c r="I2656" i="12"/>
  <c r="H2656" i="12"/>
  <c r="I2655" i="12"/>
  <c r="H2655" i="12"/>
  <c r="I2654" i="12"/>
  <c r="H2654" i="12"/>
  <c r="I2653" i="12"/>
  <c r="H2653" i="12"/>
  <c r="I2652" i="12"/>
  <c r="H2652" i="12"/>
  <c r="I2651" i="12"/>
  <c r="H2651" i="12"/>
  <c r="I2650" i="12"/>
  <c r="H2650" i="12"/>
  <c r="I2649" i="12"/>
  <c r="H2649" i="12"/>
  <c r="I2648" i="12"/>
  <c r="H2648" i="12"/>
  <c r="I2647" i="12"/>
  <c r="H2647" i="12"/>
  <c r="I2646" i="12"/>
  <c r="H2646" i="12"/>
  <c r="I2645" i="12"/>
  <c r="H2645" i="12"/>
  <c r="I2644" i="12"/>
  <c r="H2644" i="12"/>
  <c r="I2643" i="12"/>
  <c r="H2643" i="12"/>
  <c r="I2642" i="12"/>
  <c r="H2642" i="12"/>
  <c r="I2641" i="12"/>
  <c r="H2641" i="12"/>
  <c r="I2640" i="12"/>
  <c r="H2640" i="12"/>
  <c r="I2639" i="12"/>
  <c r="H2639" i="12"/>
  <c r="I2638" i="12"/>
  <c r="H2638" i="12"/>
  <c r="I2637" i="12"/>
  <c r="H2637" i="12"/>
  <c r="I2636" i="12"/>
  <c r="H2636" i="12"/>
  <c r="I2635" i="12"/>
  <c r="H2635" i="12"/>
  <c r="I2634" i="12"/>
  <c r="H2634" i="12"/>
  <c r="I2633" i="12"/>
  <c r="H2633" i="12"/>
  <c r="I2632" i="12"/>
  <c r="H2632" i="12"/>
  <c r="I2631" i="12"/>
  <c r="H2631" i="12"/>
  <c r="I2630" i="12"/>
  <c r="H2630" i="12"/>
  <c r="I2629" i="12"/>
  <c r="H2629" i="12"/>
  <c r="I2628" i="12"/>
  <c r="H2628" i="12"/>
  <c r="I2627" i="12"/>
  <c r="H2627" i="12"/>
  <c r="I2626" i="12"/>
  <c r="H2626" i="12"/>
  <c r="I2625" i="12"/>
  <c r="H2625" i="12"/>
  <c r="I2624" i="12"/>
  <c r="H2624" i="12"/>
  <c r="I2623" i="12"/>
  <c r="H2623" i="12"/>
  <c r="I2622" i="12"/>
  <c r="H2622" i="12"/>
  <c r="I2621" i="12"/>
  <c r="H2621" i="12"/>
  <c r="I2620" i="12"/>
  <c r="H2620" i="12"/>
  <c r="I2619" i="12"/>
  <c r="H2619" i="12"/>
  <c r="I2618" i="12"/>
  <c r="H2618" i="12"/>
  <c r="I2617" i="12"/>
  <c r="H2617" i="12"/>
  <c r="I2616" i="12"/>
  <c r="H2616" i="12"/>
  <c r="I2615" i="12"/>
  <c r="H2615" i="12"/>
  <c r="I2614" i="12"/>
  <c r="H2614" i="12"/>
  <c r="I2613" i="12"/>
  <c r="H2613" i="12"/>
  <c r="I2612" i="12"/>
  <c r="H2612" i="12"/>
  <c r="I2611" i="12"/>
  <c r="H2611" i="12"/>
  <c r="I2610" i="12"/>
  <c r="H2610" i="12"/>
  <c r="I2609" i="12"/>
  <c r="H2609" i="12"/>
  <c r="I2608" i="12"/>
  <c r="H2608" i="12"/>
  <c r="I2607" i="12"/>
  <c r="H2607" i="12"/>
  <c r="I2606" i="12"/>
  <c r="H2606" i="12"/>
  <c r="I2605" i="12"/>
  <c r="H2605" i="12"/>
  <c r="I2604" i="12"/>
  <c r="H2604" i="12"/>
  <c r="I2603" i="12"/>
  <c r="H2603" i="12"/>
  <c r="I2602" i="12"/>
  <c r="H2602" i="12"/>
  <c r="I2601" i="12"/>
  <c r="H2601" i="12"/>
  <c r="I2600" i="12"/>
  <c r="H2600" i="12"/>
  <c r="I2599" i="12"/>
  <c r="H2599" i="12"/>
  <c r="I2598" i="12"/>
  <c r="H2598" i="12"/>
  <c r="I2597" i="12"/>
  <c r="H2597" i="12"/>
  <c r="I2596" i="12"/>
  <c r="H2596" i="12"/>
  <c r="I2595" i="12"/>
  <c r="H2595" i="12"/>
  <c r="I2594" i="12"/>
  <c r="H2594" i="12"/>
  <c r="I2593" i="12"/>
  <c r="H2593" i="12"/>
  <c r="I2592" i="12"/>
  <c r="H2592" i="12"/>
  <c r="I2591" i="12"/>
  <c r="H2591" i="12"/>
  <c r="I2590" i="12"/>
  <c r="H2590" i="12"/>
  <c r="I2589" i="12"/>
  <c r="H2589" i="12"/>
  <c r="I2588" i="12"/>
  <c r="H2588" i="12"/>
  <c r="I2587" i="12"/>
  <c r="H2587" i="12"/>
  <c r="I2586" i="12"/>
  <c r="H2586" i="12"/>
  <c r="I2585" i="12"/>
  <c r="H2585" i="12"/>
  <c r="I2584" i="12"/>
  <c r="H2584" i="12"/>
  <c r="I2583" i="12"/>
  <c r="H2583" i="12"/>
  <c r="I2582" i="12"/>
  <c r="H2582" i="12"/>
  <c r="I2581" i="12"/>
  <c r="H2581" i="12"/>
  <c r="I2580" i="12"/>
  <c r="H2580" i="12"/>
  <c r="I2579" i="12"/>
  <c r="H2579" i="12"/>
  <c r="I2578" i="12"/>
  <c r="H2578" i="12"/>
  <c r="I2577" i="12"/>
  <c r="H2577" i="12"/>
  <c r="I2576" i="12"/>
  <c r="H2576" i="12"/>
  <c r="I2575" i="12"/>
  <c r="H2575" i="12"/>
  <c r="I2574" i="12"/>
  <c r="H2574" i="12"/>
  <c r="I2573" i="12"/>
  <c r="H2573" i="12"/>
  <c r="I2572" i="12"/>
  <c r="H2572" i="12"/>
  <c r="I2571" i="12"/>
  <c r="H2571" i="12"/>
  <c r="I2570" i="12"/>
  <c r="H2570" i="12"/>
  <c r="I2569" i="12"/>
  <c r="H2569" i="12"/>
  <c r="I2568" i="12"/>
  <c r="H2568" i="12"/>
  <c r="I2567" i="12"/>
  <c r="H2567" i="12"/>
  <c r="I2566" i="12"/>
  <c r="H2566" i="12"/>
  <c r="I2565" i="12"/>
  <c r="H2565" i="12"/>
  <c r="I2564" i="12"/>
  <c r="H2564" i="12"/>
  <c r="I2563" i="12"/>
  <c r="H2563" i="12"/>
  <c r="I2562" i="12"/>
  <c r="H2562" i="12"/>
  <c r="I2561" i="12"/>
  <c r="H2561" i="12"/>
  <c r="I2560" i="12"/>
  <c r="H2560" i="12"/>
  <c r="I2559" i="12"/>
  <c r="H2559" i="12"/>
  <c r="I2558" i="12"/>
  <c r="H2558" i="12"/>
  <c r="I2557" i="12"/>
  <c r="H2557" i="12"/>
  <c r="I2556" i="12"/>
  <c r="H2556" i="12"/>
  <c r="I2555" i="12"/>
  <c r="H2555" i="12"/>
  <c r="I2554" i="12"/>
  <c r="H2554" i="12"/>
  <c r="I2553" i="12"/>
  <c r="H2553" i="12"/>
  <c r="I2552" i="12"/>
  <c r="H2552" i="12"/>
  <c r="I2551" i="12"/>
  <c r="H2551" i="12"/>
  <c r="I2550" i="12"/>
  <c r="H2550" i="12"/>
  <c r="I2549" i="12"/>
  <c r="H2549" i="12"/>
  <c r="I2548" i="12"/>
  <c r="H2548" i="12"/>
  <c r="I2547" i="12"/>
  <c r="H2547" i="12"/>
  <c r="I2546" i="12"/>
  <c r="H2546" i="12"/>
  <c r="I2545" i="12"/>
  <c r="H2545" i="12"/>
  <c r="I2544" i="12"/>
  <c r="H2544" i="12"/>
  <c r="I2543" i="12"/>
  <c r="H2543" i="12"/>
  <c r="I2542" i="12"/>
  <c r="H2542" i="12"/>
  <c r="I2541" i="12"/>
  <c r="H2541" i="12"/>
  <c r="I2540" i="12"/>
  <c r="H2540" i="12"/>
  <c r="I2539" i="12"/>
  <c r="H2539" i="12"/>
  <c r="I2538" i="12"/>
  <c r="H2538" i="12"/>
  <c r="I2537" i="12"/>
  <c r="H2537" i="12"/>
  <c r="I2536" i="12"/>
  <c r="H2536" i="12"/>
  <c r="I2535" i="12"/>
  <c r="H2535" i="12"/>
  <c r="I2534" i="12"/>
  <c r="H2534" i="12"/>
  <c r="I2533" i="12"/>
  <c r="H2533" i="12"/>
  <c r="I2532" i="12"/>
  <c r="H2532" i="12"/>
  <c r="I2531" i="12"/>
  <c r="H2531" i="12"/>
  <c r="I2530" i="12"/>
  <c r="H2530" i="12"/>
  <c r="I2529" i="12"/>
  <c r="H2529" i="12"/>
  <c r="I2528" i="12"/>
  <c r="H2528" i="12"/>
  <c r="I2527" i="12"/>
  <c r="H2527" i="12"/>
  <c r="I2526" i="12"/>
  <c r="H2526" i="12"/>
  <c r="I2525" i="12"/>
  <c r="H2525" i="12"/>
  <c r="I2524" i="12"/>
  <c r="H2524" i="12"/>
  <c r="I2523" i="12"/>
  <c r="H2523" i="12"/>
  <c r="I2522" i="12"/>
  <c r="H2522" i="12"/>
  <c r="I2521" i="12"/>
  <c r="H2521" i="12"/>
  <c r="I2520" i="12"/>
  <c r="H2520" i="12"/>
  <c r="I2519" i="12"/>
  <c r="H2519" i="12"/>
  <c r="I2518" i="12"/>
  <c r="H2518" i="12"/>
  <c r="I2517" i="12"/>
  <c r="H2517" i="12"/>
  <c r="I2516" i="12"/>
  <c r="H2516" i="12"/>
  <c r="I2515" i="12"/>
  <c r="H2515" i="12"/>
  <c r="I2514" i="12"/>
  <c r="H2514" i="12"/>
  <c r="I2513" i="12"/>
  <c r="H2513" i="12"/>
  <c r="I2512" i="12"/>
  <c r="H2512" i="12"/>
  <c r="I2511" i="12"/>
  <c r="H2511" i="12"/>
  <c r="I2510" i="12"/>
  <c r="H2510" i="12"/>
  <c r="I2509" i="12"/>
  <c r="H2509" i="12"/>
  <c r="I2508" i="12"/>
  <c r="H2508" i="12"/>
  <c r="I2507" i="12"/>
  <c r="H2507" i="12"/>
  <c r="I2506" i="12"/>
  <c r="H2506" i="12"/>
  <c r="I2505" i="12"/>
  <c r="H2505" i="12"/>
  <c r="I2504" i="12"/>
  <c r="H2504" i="12"/>
  <c r="I2503" i="12"/>
  <c r="H2503" i="12"/>
  <c r="I2502" i="12"/>
  <c r="H2502" i="12"/>
  <c r="I2501" i="12"/>
  <c r="H2501" i="12"/>
  <c r="I2500" i="12"/>
  <c r="H2500" i="12"/>
  <c r="I2499" i="12"/>
  <c r="H2499" i="12"/>
  <c r="I2498" i="12"/>
  <c r="H2498" i="12"/>
  <c r="I2497" i="12"/>
  <c r="H2497" i="12"/>
  <c r="I2496" i="12"/>
  <c r="H2496" i="12"/>
  <c r="I2495" i="12"/>
  <c r="H2495" i="12"/>
  <c r="I2494" i="12"/>
  <c r="H2494" i="12"/>
  <c r="I2493" i="12"/>
  <c r="H2493" i="12"/>
  <c r="I2492" i="12"/>
  <c r="H2492" i="12"/>
  <c r="I2491" i="12"/>
  <c r="H2491" i="12"/>
  <c r="I2490" i="12"/>
  <c r="H2490" i="12"/>
  <c r="I2489" i="12"/>
  <c r="H2489" i="12"/>
  <c r="I2488" i="12"/>
  <c r="H2488" i="12"/>
  <c r="I2487" i="12"/>
  <c r="H2487" i="12"/>
  <c r="I2486" i="12"/>
  <c r="H2486" i="12"/>
  <c r="I2485" i="12"/>
  <c r="H2485" i="12"/>
  <c r="I2484" i="12"/>
  <c r="H2484" i="12"/>
  <c r="I2483" i="12"/>
  <c r="H2483" i="12"/>
  <c r="I2482" i="12"/>
  <c r="H2482" i="12"/>
  <c r="I2481" i="12"/>
  <c r="H2481" i="12"/>
  <c r="I2480" i="12"/>
  <c r="H2480" i="12"/>
  <c r="I2479" i="12"/>
  <c r="H2479" i="12"/>
  <c r="I2478" i="12"/>
  <c r="H2478" i="12"/>
  <c r="I2477" i="12"/>
  <c r="H2477" i="12"/>
  <c r="I2476" i="12"/>
  <c r="H2476" i="12"/>
  <c r="I2475" i="12"/>
  <c r="H2475" i="12"/>
  <c r="I2474" i="12"/>
  <c r="H2474" i="12"/>
  <c r="I2473" i="12"/>
  <c r="H2473" i="12"/>
  <c r="I2472" i="12"/>
  <c r="H2472" i="12"/>
  <c r="I2471" i="12"/>
  <c r="H2471" i="12"/>
  <c r="I2470" i="12"/>
  <c r="H2470" i="12"/>
  <c r="I2469" i="12"/>
  <c r="H2469" i="12"/>
  <c r="I2468" i="12"/>
  <c r="H2468" i="12"/>
  <c r="I2467" i="12"/>
  <c r="H2467" i="12"/>
  <c r="I2466" i="12"/>
  <c r="H2466" i="12"/>
  <c r="I2465" i="12"/>
  <c r="H2465" i="12"/>
  <c r="I2464" i="12"/>
  <c r="H2464" i="12"/>
  <c r="I2463" i="12"/>
  <c r="H2463" i="12"/>
  <c r="I2462" i="12"/>
  <c r="H2462" i="12"/>
  <c r="I2461" i="12"/>
  <c r="H2461" i="12"/>
  <c r="I2460" i="12"/>
  <c r="H2460" i="12"/>
  <c r="I2459" i="12"/>
  <c r="H2459" i="12"/>
  <c r="I2458" i="12"/>
  <c r="H2458" i="12"/>
  <c r="I2457" i="12"/>
  <c r="H2457" i="12"/>
  <c r="I2456" i="12"/>
  <c r="H2456" i="12"/>
  <c r="I2455" i="12"/>
  <c r="H2455" i="12"/>
  <c r="I2454" i="12"/>
  <c r="H2454" i="12"/>
  <c r="I2453" i="12"/>
  <c r="H2453" i="12"/>
  <c r="I2452" i="12"/>
  <c r="H2452" i="12"/>
  <c r="I2451" i="12"/>
  <c r="H2451" i="12"/>
  <c r="I2450" i="12"/>
  <c r="H2450" i="12"/>
  <c r="I2449" i="12"/>
  <c r="H2449" i="12"/>
  <c r="I2448" i="12"/>
  <c r="H2448" i="12"/>
  <c r="I2447" i="12"/>
  <c r="H2447" i="12"/>
  <c r="I2446" i="12"/>
  <c r="H2446" i="12"/>
  <c r="I2445" i="12"/>
  <c r="H2445" i="12"/>
  <c r="I2444" i="12"/>
  <c r="H2444" i="12"/>
  <c r="I2443" i="12"/>
  <c r="H2443" i="12"/>
  <c r="I2442" i="12"/>
  <c r="H2442" i="12"/>
  <c r="I2441" i="12"/>
  <c r="H2441" i="12"/>
  <c r="I2440" i="12"/>
  <c r="H2440" i="12"/>
  <c r="I2439" i="12"/>
  <c r="H2439" i="12"/>
  <c r="I2438" i="12"/>
  <c r="H2438" i="12"/>
  <c r="I2437" i="12"/>
  <c r="H2437" i="12"/>
  <c r="I2436" i="12"/>
  <c r="H2436" i="12"/>
  <c r="I2435" i="12"/>
  <c r="H2435" i="12"/>
  <c r="I2434" i="12"/>
  <c r="H2434" i="12"/>
  <c r="I2433" i="12"/>
  <c r="H2433" i="12"/>
  <c r="I2432" i="12"/>
  <c r="H2432" i="12"/>
  <c r="I2431" i="12"/>
  <c r="H2431" i="12"/>
  <c r="I2430" i="12"/>
  <c r="H2430" i="12"/>
  <c r="I2429" i="12"/>
  <c r="H2429" i="12"/>
  <c r="I2428" i="12"/>
  <c r="H2428" i="12"/>
  <c r="I2427" i="12"/>
  <c r="H2427" i="12"/>
  <c r="I2426" i="12"/>
  <c r="H2426" i="12"/>
  <c r="I2425" i="12"/>
  <c r="H2425" i="12"/>
  <c r="I2424" i="12"/>
  <c r="H2424" i="12"/>
  <c r="I2423" i="12"/>
  <c r="H2423" i="12"/>
  <c r="I2422" i="12"/>
  <c r="H2422" i="12"/>
  <c r="I2421" i="12"/>
  <c r="H2421" i="12"/>
  <c r="I2420" i="12"/>
  <c r="H2420" i="12"/>
  <c r="I2419" i="12"/>
  <c r="H2419" i="12"/>
  <c r="I2418" i="12"/>
  <c r="H2418" i="12"/>
  <c r="I2417" i="12"/>
  <c r="H2417" i="12"/>
  <c r="I2416" i="12"/>
  <c r="H2416" i="12"/>
  <c r="I2415" i="12"/>
  <c r="H2415" i="12"/>
  <c r="I2414" i="12"/>
  <c r="H2414" i="12"/>
  <c r="I2413" i="12"/>
  <c r="H2413" i="12"/>
  <c r="I2412" i="12"/>
  <c r="H2412" i="12"/>
  <c r="I2411" i="12"/>
  <c r="H2411" i="12"/>
  <c r="I2410" i="12"/>
  <c r="H2410" i="12"/>
  <c r="I2409" i="12"/>
  <c r="H2409" i="12"/>
  <c r="I2408" i="12"/>
  <c r="H2408" i="12"/>
  <c r="I2407" i="12"/>
  <c r="H2407" i="12"/>
  <c r="I2406" i="12"/>
  <c r="H2406" i="12"/>
  <c r="I2405" i="12"/>
  <c r="H2405" i="12"/>
  <c r="I2404" i="12"/>
  <c r="H2404" i="12"/>
  <c r="I2403" i="12"/>
  <c r="H2403" i="12"/>
  <c r="I2402" i="12"/>
  <c r="H2402" i="12"/>
  <c r="I2401" i="12"/>
  <c r="H2401" i="12"/>
  <c r="I2400" i="12"/>
  <c r="H2400" i="12"/>
  <c r="I2399" i="12"/>
  <c r="H2399" i="12"/>
  <c r="I2398" i="12"/>
  <c r="H2398" i="12"/>
  <c r="I2397" i="12"/>
  <c r="H2397" i="12"/>
  <c r="I2396" i="12"/>
  <c r="H2396" i="12"/>
  <c r="I2395" i="12"/>
  <c r="H2395" i="12"/>
  <c r="I2394" i="12"/>
  <c r="H2394" i="12"/>
  <c r="I2393" i="12"/>
  <c r="H2393" i="12"/>
  <c r="I2392" i="12"/>
  <c r="H2392" i="12"/>
  <c r="I2391" i="12"/>
  <c r="H2391" i="12"/>
  <c r="I2390" i="12"/>
  <c r="H2390" i="12"/>
  <c r="I2389" i="12"/>
  <c r="H2389" i="12"/>
  <c r="I2388" i="12"/>
  <c r="H2388" i="12"/>
  <c r="I2387" i="12"/>
  <c r="H2387" i="12"/>
  <c r="I2386" i="12"/>
  <c r="H2386" i="12"/>
  <c r="I2385" i="12"/>
  <c r="H2385" i="12"/>
  <c r="I2384" i="12"/>
  <c r="H2384" i="12"/>
  <c r="I2383" i="12"/>
  <c r="H2383" i="12"/>
  <c r="I2382" i="12"/>
  <c r="H2382" i="12"/>
  <c r="I2381" i="12"/>
  <c r="H2381" i="12"/>
  <c r="I2380" i="12"/>
  <c r="H2380" i="12"/>
  <c r="I2379" i="12"/>
  <c r="H2379" i="12"/>
  <c r="I2378" i="12"/>
  <c r="H2378" i="12"/>
  <c r="I2377" i="12"/>
  <c r="H2377" i="12"/>
  <c r="I2376" i="12"/>
  <c r="H2376" i="12"/>
  <c r="I2375" i="12"/>
  <c r="H2375" i="12"/>
  <c r="I2374" i="12"/>
  <c r="H2374" i="12"/>
  <c r="I2373" i="12"/>
  <c r="H2373" i="12"/>
  <c r="I2372" i="12"/>
  <c r="H2372" i="12"/>
  <c r="I2371" i="12"/>
  <c r="H2371" i="12"/>
  <c r="I2370" i="12"/>
  <c r="H2370" i="12"/>
  <c r="I2369" i="12"/>
  <c r="H2369" i="12"/>
  <c r="I2368" i="12"/>
  <c r="H2368" i="12"/>
  <c r="I2367" i="12"/>
  <c r="H2367" i="12"/>
  <c r="I2366" i="12"/>
  <c r="H2366" i="12"/>
  <c r="I2365" i="12"/>
  <c r="H2365" i="12"/>
  <c r="I2364" i="12"/>
  <c r="H2364" i="12"/>
  <c r="I2363" i="12"/>
  <c r="H2363" i="12"/>
  <c r="I2362" i="12"/>
  <c r="H2362" i="12"/>
  <c r="I2361" i="12"/>
  <c r="H2361" i="12"/>
  <c r="I2360" i="12"/>
  <c r="H2360" i="12"/>
  <c r="I2359" i="12"/>
  <c r="H2359" i="12"/>
  <c r="I2358" i="12"/>
  <c r="H2358" i="12"/>
  <c r="I2357" i="12"/>
  <c r="H2357" i="12"/>
  <c r="I2356" i="12"/>
  <c r="H2356" i="12"/>
  <c r="I2355" i="12"/>
  <c r="H2355" i="12"/>
  <c r="I2354" i="12"/>
  <c r="H2354" i="12"/>
  <c r="I2353" i="12"/>
  <c r="H2353" i="12"/>
  <c r="I2352" i="12"/>
  <c r="H2352" i="12"/>
  <c r="I2351" i="12"/>
  <c r="H2351" i="12"/>
  <c r="I2350" i="12"/>
  <c r="H2350" i="12"/>
  <c r="I2349" i="12"/>
  <c r="H2349" i="12"/>
  <c r="I2348" i="12"/>
  <c r="H2348" i="12"/>
  <c r="I2347" i="12"/>
  <c r="H2347" i="12"/>
  <c r="I2346" i="12"/>
  <c r="H2346" i="12"/>
  <c r="I2345" i="12"/>
  <c r="H2345" i="12"/>
  <c r="I2344" i="12"/>
  <c r="H2344" i="12"/>
  <c r="I2343" i="12"/>
  <c r="H2343" i="12"/>
  <c r="I2342" i="12"/>
  <c r="H2342" i="12"/>
  <c r="I2341" i="12"/>
  <c r="H2341" i="12"/>
  <c r="I2340" i="12"/>
  <c r="H2340" i="12"/>
  <c r="I2339" i="12"/>
  <c r="H2339" i="12"/>
  <c r="I2338" i="12"/>
  <c r="H2338" i="12"/>
  <c r="I2337" i="12"/>
  <c r="H2337" i="12"/>
  <c r="I2336" i="12"/>
  <c r="H2336" i="12"/>
  <c r="I2335" i="12"/>
  <c r="H2335" i="12"/>
  <c r="I2334" i="12"/>
  <c r="H2334" i="12"/>
  <c r="I2333" i="12"/>
  <c r="H2333" i="12"/>
  <c r="I2332" i="12"/>
  <c r="H2332" i="12"/>
  <c r="I2331" i="12"/>
  <c r="H2331" i="12"/>
  <c r="I2330" i="12"/>
  <c r="H2330" i="12"/>
  <c r="I2329" i="12"/>
  <c r="H2329" i="12"/>
  <c r="I2328" i="12"/>
  <c r="H2328" i="12"/>
  <c r="I2327" i="12"/>
  <c r="H2327" i="12"/>
  <c r="I2326" i="12"/>
  <c r="H2326" i="12"/>
  <c r="I2325" i="12"/>
  <c r="H2325" i="12"/>
  <c r="I2324" i="12"/>
  <c r="H2324" i="12"/>
  <c r="I2323" i="12"/>
  <c r="H2323" i="12"/>
  <c r="I2322" i="12"/>
  <c r="H2322" i="12"/>
  <c r="I2321" i="12"/>
  <c r="H2321" i="12"/>
  <c r="I2320" i="12"/>
  <c r="H2320" i="12"/>
  <c r="I2319" i="12"/>
  <c r="H2319" i="12"/>
  <c r="I2318" i="12"/>
  <c r="H2318" i="12"/>
  <c r="I2317" i="12"/>
  <c r="H2317" i="12"/>
  <c r="I2316" i="12"/>
  <c r="H2316" i="12"/>
  <c r="I2315" i="12"/>
  <c r="H2315" i="12"/>
  <c r="I2314" i="12"/>
  <c r="H2314" i="12"/>
  <c r="I2313" i="12"/>
  <c r="H2313" i="12"/>
  <c r="I2312" i="12"/>
  <c r="H2312" i="12"/>
  <c r="I2311" i="12"/>
  <c r="H2311" i="12"/>
  <c r="I2310" i="12"/>
  <c r="H2310" i="12"/>
  <c r="I2309" i="12"/>
  <c r="H2309" i="12"/>
  <c r="I2308" i="12"/>
  <c r="H2308" i="12"/>
  <c r="I2307" i="12"/>
  <c r="H2307" i="12"/>
  <c r="I2306" i="12"/>
  <c r="H2306" i="12"/>
  <c r="I2305" i="12"/>
  <c r="H2305" i="12"/>
  <c r="I2304" i="12"/>
  <c r="H2304" i="12"/>
  <c r="I2303" i="12"/>
  <c r="H2303" i="12"/>
  <c r="I2302" i="12"/>
  <c r="H2302" i="12"/>
  <c r="I2301" i="12"/>
  <c r="H2301" i="12"/>
  <c r="I2300" i="12"/>
  <c r="H2300" i="12"/>
  <c r="I2299" i="12"/>
  <c r="H2299" i="12"/>
  <c r="I2298" i="12"/>
  <c r="H2298" i="12"/>
  <c r="I2297" i="12"/>
  <c r="H2297" i="12"/>
  <c r="I2296" i="12"/>
  <c r="H2296" i="12"/>
  <c r="I2295" i="12"/>
  <c r="H2295" i="12"/>
  <c r="I2294" i="12"/>
  <c r="H2294" i="12"/>
  <c r="I2293" i="12"/>
  <c r="H2293" i="12"/>
  <c r="I2292" i="12"/>
  <c r="H2292" i="12"/>
  <c r="I2291" i="12"/>
  <c r="H2291" i="12"/>
  <c r="I2290" i="12"/>
  <c r="H2290" i="12"/>
  <c r="I2289" i="12"/>
  <c r="H2289" i="12"/>
  <c r="I2288" i="12"/>
  <c r="H2288" i="12"/>
  <c r="I2287" i="12"/>
  <c r="H2287" i="12"/>
  <c r="I2286" i="12"/>
  <c r="H2286" i="12"/>
  <c r="I2285" i="12"/>
  <c r="H2285" i="12"/>
  <c r="I2284" i="12"/>
  <c r="H2284" i="12"/>
  <c r="I2283" i="12"/>
  <c r="H2283" i="12"/>
  <c r="I2282" i="12"/>
  <c r="H2282" i="12"/>
  <c r="I2281" i="12"/>
  <c r="H2281" i="12"/>
  <c r="I2280" i="12"/>
  <c r="H2280" i="12"/>
  <c r="I2279" i="12"/>
  <c r="H2279" i="12"/>
  <c r="I2278" i="12"/>
  <c r="H2278" i="12"/>
  <c r="I2277" i="12"/>
  <c r="H2277" i="12"/>
  <c r="I2276" i="12"/>
  <c r="H2276" i="12"/>
  <c r="I2275" i="12"/>
  <c r="H2275" i="12"/>
  <c r="I2274" i="12"/>
  <c r="H2274" i="12"/>
  <c r="I2273" i="12"/>
  <c r="H2273" i="12"/>
  <c r="I2272" i="12"/>
  <c r="H2272" i="12"/>
  <c r="I2271" i="12"/>
  <c r="H2271" i="12"/>
  <c r="I2270" i="12"/>
  <c r="H2270" i="12"/>
  <c r="I2269" i="12"/>
  <c r="H2269" i="12"/>
  <c r="I2268" i="12"/>
  <c r="H2268" i="12"/>
  <c r="I2267" i="12"/>
  <c r="H2267" i="12"/>
  <c r="I2266" i="12"/>
  <c r="H2266" i="12"/>
  <c r="I2265" i="12"/>
  <c r="H2265" i="12"/>
  <c r="I2264" i="12"/>
  <c r="H2264" i="12"/>
  <c r="I2263" i="12"/>
  <c r="H2263" i="12"/>
  <c r="I2262" i="12"/>
  <c r="H2262" i="12"/>
  <c r="I2261" i="12"/>
  <c r="H2261" i="12"/>
  <c r="I2260" i="12"/>
  <c r="H2260" i="12"/>
  <c r="I2259" i="12"/>
  <c r="H2259" i="12"/>
  <c r="I2258" i="12"/>
  <c r="H2258" i="12"/>
  <c r="I2257" i="12"/>
  <c r="H2257" i="12"/>
  <c r="I2256" i="12"/>
  <c r="H2256" i="12"/>
  <c r="I2255" i="12"/>
  <c r="H2255" i="12"/>
  <c r="I2254" i="12"/>
  <c r="H2254" i="12"/>
  <c r="I2253" i="12"/>
  <c r="H2253" i="12"/>
  <c r="I2252" i="12"/>
  <c r="H2252" i="12"/>
  <c r="I2251" i="12"/>
  <c r="H2251" i="12"/>
  <c r="I2250" i="12"/>
  <c r="H2250" i="12"/>
  <c r="I2249" i="12"/>
  <c r="H2249" i="12"/>
  <c r="I2248" i="12"/>
  <c r="H2248" i="12"/>
  <c r="I2247" i="12"/>
  <c r="H2247" i="12"/>
  <c r="I2246" i="12"/>
  <c r="H2246" i="12"/>
  <c r="I2245" i="12"/>
  <c r="H2245" i="12"/>
  <c r="I2244" i="12"/>
  <c r="H2244" i="12"/>
  <c r="I2243" i="12"/>
  <c r="H2243" i="12"/>
  <c r="I2242" i="12"/>
  <c r="H2242" i="12"/>
  <c r="I2241" i="12"/>
  <c r="H2241" i="12"/>
  <c r="I2240" i="12"/>
  <c r="H2240" i="12"/>
  <c r="I2239" i="12"/>
  <c r="H2239" i="12"/>
  <c r="I2238" i="12"/>
  <c r="H2238" i="12"/>
  <c r="I2237" i="12"/>
  <c r="H2237" i="12"/>
  <c r="I2236" i="12"/>
  <c r="H2236" i="12"/>
  <c r="I2235" i="12"/>
  <c r="H2235" i="12"/>
  <c r="I2234" i="12"/>
  <c r="H2234" i="12"/>
  <c r="I2233" i="12"/>
  <c r="H2233" i="12"/>
  <c r="I2232" i="12"/>
  <c r="H2232" i="12"/>
  <c r="I2231" i="12"/>
  <c r="H2231" i="12"/>
  <c r="I2230" i="12"/>
  <c r="H2230" i="12"/>
  <c r="I2229" i="12"/>
  <c r="H2229" i="12"/>
  <c r="I2228" i="12"/>
  <c r="H2228" i="12"/>
  <c r="I2227" i="12"/>
  <c r="H2227" i="12"/>
  <c r="I2226" i="12"/>
  <c r="H2226" i="12"/>
  <c r="I2225" i="12"/>
  <c r="H2225" i="12"/>
  <c r="I2224" i="12"/>
  <c r="H2224" i="12"/>
  <c r="I2223" i="12"/>
  <c r="H2223" i="12"/>
  <c r="I2222" i="12"/>
  <c r="H2222" i="12"/>
  <c r="I2221" i="12"/>
  <c r="H2221" i="12"/>
  <c r="I2220" i="12"/>
  <c r="H2220" i="12"/>
  <c r="I2219" i="12"/>
  <c r="H2219" i="12"/>
  <c r="I2218" i="12"/>
  <c r="H2218" i="12"/>
  <c r="I2217" i="12"/>
  <c r="H2217" i="12"/>
  <c r="I2216" i="12"/>
  <c r="H2216" i="12"/>
  <c r="I2215" i="12"/>
  <c r="H2215" i="12"/>
  <c r="I2214" i="12"/>
  <c r="H2214" i="12"/>
  <c r="I2213" i="12"/>
  <c r="H2213" i="12"/>
  <c r="I2212" i="12"/>
  <c r="H2212" i="12"/>
  <c r="I2211" i="12"/>
  <c r="H2211" i="12"/>
  <c r="I2210" i="12"/>
  <c r="H2210" i="12"/>
  <c r="I2209" i="12"/>
  <c r="H2209" i="12"/>
  <c r="I2208" i="12"/>
  <c r="H2208" i="12"/>
  <c r="I2207" i="12"/>
  <c r="H2207" i="12"/>
  <c r="I2206" i="12"/>
  <c r="H2206" i="12"/>
  <c r="I2205" i="12"/>
  <c r="H2205" i="12"/>
  <c r="I2204" i="12"/>
  <c r="H2204" i="12"/>
  <c r="I2203" i="12"/>
  <c r="H2203" i="12"/>
  <c r="I2202" i="12"/>
  <c r="H2202" i="12"/>
  <c r="I2201" i="12"/>
  <c r="H2201" i="12"/>
  <c r="I2200" i="12"/>
  <c r="H2200" i="12"/>
  <c r="I2199" i="12"/>
  <c r="H2199" i="12"/>
  <c r="I2198" i="12"/>
  <c r="H2198" i="12"/>
  <c r="I2197" i="12"/>
  <c r="H2197" i="12"/>
  <c r="I2196" i="12"/>
  <c r="H2196" i="12"/>
  <c r="I2195" i="12"/>
  <c r="H2195" i="12"/>
  <c r="I2194" i="12"/>
  <c r="H2194" i="12"/>
  <c r="I2193" i="12"/>
  <c r="H2193" i="12"/>
  <c r="I2192" i="12"/>
  <c r="H2192" i="12"/>
  <c r="I2191" i="12"/>
  <c r="H2191" i="12"/>
  <c r="I2190" i="12"/>
  <c r="H2190" i="12"/>
  <c r="I2189" i="12"/>
  <c r="H2189" i="12"/>
  <c r="I2188" i="12"/>
  <c r="H2188" i="12"/>
  <c r="I2187" i="12"/>
  <c r="H2187" i="12"/>
  <c r="I2186" i="12"/>
  <c r="H2186" i="12"/>
  <c r="I2185" i="12"/>
  <c r="H2185" i="12"/>
  <c r="I2184" i="12"/>
  <c r="H2184" i="12"/>
  <c r="I2183" i="12"/>
  <c r="H2183" i="12"/>
  <c r="I2182" i="12"/>
  <c r="H2182" i="12"/>
  <c r="I2181" i="12"/>
  <c r="H2181" i="12"/>
  <c r="I2180" i="12"/>
  <c r="H2180" i="12"/>
  <c r="I2179" i="12"/>
  <c r="H2179" i="12"/>
  <c r="I2178" i="12"/>
  <c r="H2178" i="12"/>
  <c r="I2177" i="12"/>
  <c r="H2177" i="12"/>
  <c r="I2176" i="12"/>
  <c r="H2176" i="12"/>
  <c r="I2175" i="12"/>
  <c r="H2175" i="12"/>
  <c r="I2174" i="12"/>
  <c r="H2174" i="12"/>
  <c r="I2173" i="12"/>
  <c r="H2173" i="12"/>
  <c r="I2172" i="12"/>
  <c r="H2172" i="12"/>
  <c r="I2171" i="12"/>
  <c r="H2171" i="12"/>
  <c r="I2170" i="12"/>
  <c r="H2170" i="12"/>
  <c r="I2169" i="12"/>
  <c r="H2169" i="12"/>
  <c r="I2168" i="12"/>
  <c r="H2168" i="12"/>
  <c r="I2167" i="12"/>
  <c r="H2167" i="12"/>
  <c r="I2166" i="12"/>
  <c r="H2166" i="12"/>
  <c r="I2165" i="12"/>
  <c r="H2165" i="12"/>
  <c r="I2164" i="12"/>
  <c r="H2164" i="12"/>
  <c r="I2163" i="12"/>
  <c r="H2163" i="12"/>
  <c r="I2162" i="12"/>
  <c r="H2162" i="12"/>
  <c r="I2161" i="12"/>
  <c r="H2161" i="12"/>
  <c r="I2160" i="12"/>
  <c r="H2160" i="12"/>
  <c r="I2159" i="12"/>
  <c r="H2159" i="12"/>
  <c r="I2158" i="12"/>
  <c r="H2158" i="12"/>
  <c r="I2157" i="12"/>
  <c r="H2157" i="12"/>
  <c r="I2156" i="12"/>
  <c r="H2156" i="12"/>
  <c r="I2155" i="12"/>
  <c r="H2155" i="12"/>
  <c r="I2154" i="12"/>
  <c r="H2154" i="12"/>
  <c r="I2153" i="12"/>
  <c r="H2153" i="12"/>
  <c r="I2152" i="12"/>
  <c r="H2152" i="12"/>
  <c r="I2151" i="12"/>
  <c r="H2151" i="12"/>
  <c r="I2150" i="12"/>
  <c r="H2150" i="12"/>
  <c r="I2149" i="12"/>
  <c r="H2149" i="12"/>
  <c r="I2148" i="12"/>
  <c r="H2148" i="12"/>
  <c r="I2147" i="12"/>
  <c r="H2147" i="12"/>
  <c r="I2146" i="12"/>
  <c r="H2146" i="12"/>
  <c r="I2145" i="12"/>
  <c r="H2145" i="12"/>
  <c r="I2144" i="12"/>
  <c r="H2144" i="12"/>
  <c r="I2143" i="12"/>
  <c r="H2143" i="12"/>
  <c r="I2142" i="12"/>
  <c r="H2142" i="12"/>
  <c r="I2141" i="12"/>
  <c r="H2141" i="12"/>
  <c r="I2140" i="12"/>
  <c r="H2140" i="12"/>
  <c r="I2139" i="12"/>
  <c r="H2139" i="12"/>
  <c r="I2138" i="12"/>
  <c r="H2138" i="12"/>
  <c r="I2137" i="12"/>
  <c r="H2137" i="12"/>
  <c r="I2136" i="12"/>
  <c r="H2136" i="12"/>
  <c r="I2135" i="12"/>
  <c r="H2135" i="12"/>
  <c r="I2134" i="12"/>
  <c r="H2134" i="12"/>
  <c r="I2133" i="12"/>
  <c r="H2133" i="12"/>
  <c r="I2132" i="12"/>
  <c r="H2132" i="12"/>
  <c r="I2131" i="12"/>
  <c r="H2131" i="12"/>
  <c r="I2130" i="12"/>
  <c r="H2130" i="12"/>
  <c r="I2129" i="12"/>
  <c r="H2129" i="12"/>
  <c r="I2128" i="12"/>
  <c r="H2128" i="12"/>
  <c r="I2127" i="12"/>
  <c r="H2127" i="12"/>
  <c r="I2126" i="12"/>
  <c r="H2126" i="12"/>
  <c r="I2125" i="12"/>
  <c r="H2125" i="12"/>
  <c r="I2124" i="12"/>
  <c r="H2124" i="12"/>
  <c r="I2123" i="12"/>
  <c r="H2123" i="12"/>
  <c r="I2122" i="12"/>
  <c r="H2122" i="12"/>
  <c r="I2121" i="12"/>
  <c r="H2121" i="12"/>
  <c r="I2120" i="12"/>
  <c r="H2120" i="12"/>
  <c r="I2119" i="12"/>
  <c r="H2119" i="12"/>
  <c r="I2118" i="12"/>
  <c r="H2118" i="12"/>
  <c r="I2117" i="12"/>
  <c r="H2117" i="12"/>
  <c r="I2116" i="12"/>
  <c r="H2116" i="12"/>
  <c r="I2115" i="12"/>
  <c r="H2115" i="12"/>
  <c r="I2114" i="12"/>
  <c r="H2114" i="12"/>
  <c r="I2113" i="12"/>
  <c r="H2113" i="12"/>
  <c r="I2112" i="12"/>
  <c r="H2112" i="12"/>
  <c r="I2111" i="12"/>
  <c r="H2111" i="12"/>
  <c r="I2110" i="12"/>
  <c r="H2110" i="12"/>
  <c r="I2109" i="12"/>
  <c r="H2109" i="12"/>
  <c r="I2108" i="12"/>
  <c r="H2108" i="12"/>
  <c r="I2107" i="12"/>
  <c r="H2107" i="12"/>
  <c r="I2106" i="12"/>
  <c r="H2106" i="12"/>
  <c r="I2105" i="12"/>
  <c r="H2105" i="12"/>
  <c r="I2104" i="12"/>
  <c r="H2104" i="12"/>
  <c r="I2103" i="12"/>
  <c r="H2103" i="12"/>
  <c r="I2102" i="12"/>
  <c r="H2102" i="12"/>
  <c r="I2101" i="12"/>
  <c r="H2101" i="12"/>
  <c r="I2100" i="12"/>
  <c r="H2100" i="12"/>
  <c r="I2099" i="12"/>
  <c r="H2099" i="12"/>
  <c r="I2098" i="12"/>
  <c r="H2098" i="12"/>
  <c r="I2097" i="12"/>
  <c r="H2097" i="12"/>
  <c r="I2096" i="12"/>
  <c r="H2096" i="12"/>
  <c r="I2095" i="12"/>
  <c r="H2095" i="12"/>
  <c r="I2094" i="12"/>
  <c r="H2094" i="12"/>
  <c r="I2093" i="12"/>
  <c r="H2093" i="12"/>
  <c r="I2092" i="12"/>
  <c r="H2092" i="12"/>
  <c r="I2091" i="12"/>
  <c r="H2091" i="12"/>
  <c r="I2090" i="12"/>
  <c r="H2090" i="12"/>
  <c r="I2089" i="12"/>
  <c r="H2089" i="12"/>
  <c r="I2088" i="12"/>
  <c r="H2088" i="12"/>
  <c r="I2087" i="12"/>
  <c r="H2087" i="12"/>
  <c r="I2086" i="12"/>
  <c r="H2086" i="12"/>
  <c r="I2085" i="12"/>
  <c r="H2085" i="12"/>
  <c r="I2084" i="12"/>
  <c r="H2084" i="12"/>
  <c r="I2083" i="12"/>
  <c r="H2083" i="12"/>
  <c r="I2082" i="12"/>
  <c r="H2082" i="12"/>
  <c r="I2081" i="12"/>
  <c r="H2081" i="12"/>
  <c r="I2080" i="12"/>
  <c r="H2080" i="12"/>
  <c r="I2079" i="12"/>
  <c r="H2079" i="12"/>
  <c r="I2078" i="12"/>
  <c r="H2078" i="12"/>
  <c r="I2077" i="12"/>
  <c r="H2077" i="12"/>
  <c r="I2076" i="12"/>
  <c r="H2076" i="12"/>
  <c r="I2075" i="12"/>
  <c r="H2075" i="12"/>
  <c r="I2074" i="12"/>
  <c r="H2074" i="12"/>
  <c r="I2073" i="12"/>
  <c r="H2073" i="12"/>
  <c r="I2072" i="12"/>
  <c r="H2072" i="12"/>
  <c r="I2071" i="12"/>
  <c r="H2071" i="12"/>
  <c r="I2070" i="12"/>
  <c r="H2070" i="12"/>
  <c r="I2069" i="12"/>
  <c r="H2069" i="12"/>
  <c r="I2068" i="12"/>
  <c r="H2068" i="12"/>
  <c r="I2067" i="12"/>
  <c r="H2067" i="12"/>
  <c r="I2066" i="12"/>
  <c r="H2066" i="12"/>
  <c r="I2065" i="12"/>
  <c r="H2065" i="12"/>
  <c r="I2064" i="12"/>
  <c r="H2064" i="12"/>
  <c r="I2063" i="12"/>
  <c r="H2063" i="12"/>
  <c r="I2062" i="12"/>
  <c r="H2062" i="12"/>
  <c r="I2061" i="12"/>
  <c r="H2061" i="12"/>
  <c r="I2060" i="12"/>
  <c r="H2060" i="12"/>
  <c r="I2059" i="12"/>
  <c r="H2059" i="12"/>
  <c r="I2058" i="12"/>
  <c r="H2058" i="12"/>
  <c r="I2057" i="12"/>
  <c r="H2057" i="12"/>
  <c r="I2056" i="12"/>
  <c r="H2056" i="12"/>
  <c r="I2055" i="12"/>
  <c r="H2055" i="12"/>
  <c r="I2054" i="12"/>
  <c r="H2054" i="12"/>
  <c r="I2053" i="12"/>
  <c r="H2053" i="12"/>
  <c r="I2052" i="12"/>
  <c r="H2052" i="12"/>
  <c r="I2051" i="12"/>
  <c r="H2051" i="12"/>
  <c r="I2050" i="12"/>
  <c r="H2050" i="12"/>
  <c r="I2049" i="12"/>
  <c r="H2049" i="12"/>
  <c r="I2048" i="12"/>
  <c r="H2048" i="12"/>
  <c r="I2047" i="12"/>
  <c r="H2047" i="12"/>
  <c r="I2046" i="12"/>
  <c r="H2046" i="12"/>
  <c r="I2045" i="12"/>
  <c r="H2045" i="12"/>
  <c r="I2044" i="12"/>
  <c r="H2044" i="12"/>
  <c r="I2043" i="12"/>
  <c r="H2043" i="12"/>
  <c r="I2042" i="12"/>
  <c r="H2042" i="12"/>
  <c r="I2041" i="12"/>
  <c r="H2041" i="12"/>
  <c r="I2040" i="12"/>
  <c r="H2040" i="12"/>
  <c r="I2039" i="12"/>
  <c r="H2039" i="12"/>
  <c r="I2038" i="12"/>
  <c r="H2038" i="12"/>
  <c r="I2037" i="12"/>
  <c r="H2037" i="12"/>
  <c r="I2036" i="12"/>
  <c r="H2036" i="12"/>
  <c r="I2035" i="12"/>
  <c r="H2035" i="12"/>
  <c r="I2034" i="12"/>
  <c r="H2034" i="12"/>
  <c r="I2033" i="12"/>
  <c r="H2033" i="12"/>
  <c r="I2032" i="12"/>
  <c r="H2032" i="12"/>
  <c r="I2031" i="12"/>
  <c r="H2031" i="12"/>
  <c r="I2030" i="12"/>
  <c r="H2030" i="12"/>
  <c r="I2029" i="12"/>
  <c r="H2029" i="12"/>
  <c r="I2028" i="12"/>
  <c r="H2028" i="12"/>
  <c r="I2027" i="12"/>
  <c r="H2027" i="12"/>
  <c r="I2026" i="12"/>
  <c r="H2026" i="12"/>
  <c r="I2025" i="12"/>
  <c r="H2025" i="12"/>
  <c r="I2024" i="12"/>
  <c r="H2024" i="12"/>
  <c r="I2023" i="12"/>
  <c r="H2023" i="12"/>
  <c r="I2022" i="12"/>
  <c r="H2022" i="12"/>
  <c r="I2021" i="12"/>
  <c r="H2021" i="12"/>
  <c r="I2020" i="12"/>
  <c r="H2020" i="12"/>
  <c r="I2019" i="12"/>
  <c r="H2019" i="12"/>
  <c r="I2018" i="12"/>
  <c r="H2018" i="12"/>
  <c r="I2017" i="12"/>
  <c r="H2017" i="12"/>
  <c r="I2016" i="12"/>
  <c r="H2016" i="12"/>
  <c r="I2015" i="12"/>
  <c r="H2015" i="12"/>
  <c r="I2014" i="12"/>
  <c r="H2014" i="12"/>
  <c r="I2013" i="12"/>
  <c r="H2013" i="12"/>
  <c r="I2012" i="12"/>
  <c r="H2012" i="12"/>
  <c r="I2011" i="12"/>
  <c r="H2011" i="12"/>
  <c r="I2010" i="12"/>
  <c r="H2010" i="12"/>
  <c r="I2009" i="12"/>
  <c r="H2009" i="12"/>
  <c r="I2008" i="12"/>
  <c r="H2008" i="12"/>
  <c r="I2007" i="12"/>
  <c r="H2007" i="12"/>
  <c r="I2006" i="12"/>
  <c r="H2006" i="12"/>
  <c r="I2005" i="12"/>
  <c r="H2005" i="12"/>
  <c r="I2004" i="12"/>
  <c r="H2004" i="12"/>
  <c r="I2003" i="12"/>
  <c r="H2003" i="12"/>
  <c r="I2002" i="12"/>
  <c r="H2002" i="12"/>
  <c r="I2001" i="12"/>
  <c r="H2001" i="12"/>
  <c r="I2000" i="12"/>
  <c r="H2000" i="12"/>
  <c r="I1999" i="12"/>
  <c r="H1999" i="12"/>
  <c r="I1998" i="12"/>
  <c r="H1998" i="12"/>
  <c r="I1997" i="12"/>
  <c r="H1997" i="12"/>
  <c r="I1996" i="12"/>
  <c r="H1996" i="12"/>
  <c r="I1995" i="12"/>
  <c r="H1995" i="12"/>
  <c r="I1994" i="12"/>
  <c r="H1994" i="12"/>
  <c r="I1993" i="12"/>
  <c r="H1993" i="12"/>
  <c r="I1992" i="12"/>
  <c r="H1992" i="12"/>
  <c r="I1991" i="12"/>
  <c r="H1991" i="12"/>
  <c r="I1990" i="12"/>
  <c r="H1990" i="12"/>
  <c r="I1989" i="12"/>
  <c r="H1989" i="12"/>
  <c r="I1988" i="12"/>
  <c r="H1988" i="12"/>
  <c r="I1987" i="12"/>
  <c r="H1987" i="12"/>
  <c r="I1986" i="12"/>
  <c r="H1986" i="12"/>
  <c r="I1985" i="12"/>
  <c r="H1985" i="12"/>
  <c r="I1984" i="12"/>
  <c r="H1984" i="12"/>
  <c r="I1983" i="12"/>
  <c r="H1983" i="12"/>
  <c r="I1982" i="12"/>
  <c r="H1982" i="12"/>
  <c r="I1981" i="12"/>
  <c r="H1981" i="12"/>
  <c r="I1980" i="12"/>
  <c r="H1980" i="12"/>
  <c r="I1979" i="12"/>
  <c r="H1979" i="12"/>
  <c r="I1978" i="12"/>
  <c r="H1978" i="12"/>
  <c r="I1977" i="12"/>
  <c r="H1977" i="12"/>
  <c r="I1976" i="12"/>
  <c r="H1976" i="12"/>
  <c r="I1975" i="12"/>
  <c r="H1975" i="12"/>
  <c r="I1974" i="12"/>
  <c r="H1974" i="12"/>
  <c r="I1973" i="12"/>
  <c r="H1973" i="12"/>
  <c r="I1972" i="12"/>
  <c r="H1972" i="12"/>
  <c r="I1971" i="12"/>
  <c r="H1971" i="12"/>
  <c r="I1970" i="12"/>
  <c r="H1970" i="12"/>
  <c r="I1969" i="12"/>
  <c r="H1969" i="12"/>
  <c r="I1968" i="12"/>
  <c r="H1968" i="12"/>
  <c r="I1967" i="12"/>
  <c r="H1967" i="12"/>
  <c r="I1966" i="12"/>
  <c r="H1966" i="12"/>
  <c r="I1965" i="12"/>
  <c r="H1965" i="12"/>
  <c r="I1964" i="12"/>
  <c r="H1964" i="12"/>
  <c r="I1963" i="12"/>
  <c r="H1963" i="12"/>
  <c r="I1962" i="12"/>
  <c r="H1962" i="12"/>
  <c r="I1961" i="12"/>
  <c r="H1961" i="12"/>
  <c r="I1960" i="12"/>
  <c r="H1960" i="12"/>
  <c r="I1959" i="12"/>
  <c r="H1959" i="12"/>
  <c r="I1958" i="12"/>
  <c r="H1958" i="12"/>
  <c r="I1957" i="12"/>
  <c r="H1957" i="12"/>
  <c r="I1956" i="12"/>
  <c r="H1956" i="12"/>
  <c r="I1955" i="12"/>
  <c r="H1955" i="12"/>
  <c r="I1954" i="12"/>
  <c r="H1954" i="12"/>
  <c r="I1953" i="12"/>
  <c r="H1953" i="12"/>
  <c r="I1952" i="12"/>
  <c r="H1952" i="12"/>
  <c r="I1951" i="12"/>
  <c r="H1951" i="12"/>
  <c r="I1950" i="12"/>
  <c r="H1950" i="12"/>
  <c r="I1949" i="12"/>
  <c r="H1949" i="12"/>
  <c r="I1948" i="12"/>
  <c r="H1948" i="12"/>
  <c r="I1947" i="12"/>
  <c r="H1947" i="12"/>
  <c r="I1946" i="12"/>
  <c r="H1946" i="12"/>
  <c r="I1945" i="12"/>
  <c r="H1945" i="12"/>
  <c r="I1944" i="12"/>
  <c r="H1944" i="12"/>
  <c r="I1943" i="12"/>
  <c r="H1943" i="12"/>
  <c r="I1942" i="12"/>
  <c r="H1942" i="12"/>
  <c r="I1941" i="12"/>
  <c r="H1941" i="12"/>
  <c r="I1940" i="12"/>
  <c r="H1940" i="12"/>
  <c r="I1939" i="12"/>
  <c r="H1939" i="12"/>
  <c r="I1938" i="12"/>
  <c r="H1938" i="12"/>
  <c r="I1937" i="12"/>
  <c r="H1937" i="12"/>
  <c r="I1936" i="12"/>
  <c r="H1936" i="12"/>
  <c r="I1935" i="12"/>
  <c r="H1935" i="12"/>
  <c r="I1934" i="12"/>
  <c r="H1934" i="12"/>
  <c r="I1933" i="12"/>
  <c r="H1933" i="12"/>
  <c r="I1932" i="12"/>
  <c r="H1932" i="12"/>
  <c r="I1931" i="12"/>
  <c r="H1931" i="12"/>
  <c r="I1930" i="12"/>
  <c r="H1930" i="12"/>
  <c r="I1929" i="12"/>
  <c r="H1929" i="12"/>
  <c r="I1928" i="12"/>
  <c r="H1928" i="12"/>
  <c r="I1927" i="12"/>
  <c r="H1927" i="12"/>
  <c r="I1926" i="12"/>
  <c r="H1926" i="12"/>
  <c r="I1925" i="12"/>
  <c r="H1925" i="12"/>
  <c r="I1924" i="12"/>
  <c r="H1924" i="12"/>
  <c r="I1923" i="12"/>
  <c r="H1923" i="12"/>
  <c r="I1922" i="12"/>
  <c r="H1922" i="12"/>
  <c r="I1921" i="12"/>
  <c r="H1921" i="12"/>
  <c r="I1920" i="12"/>
  <c r="H1920" i="12"/>
  <c r="I1919" i="12"/>
  <c r="H1919" i="12"/>
  <c r="I1918" i="12"/>
  <c r="H1918" i="12"/>
  <c r="I1917" i="12"/>
  <c r="H1917" i="12"/>
  <c r="I1916" i="12"/>
  <c r="H1916" i="12"/>
  <c r="I1915" i="12"/>
  <c r="H1915" i="12"/>
  <c r="I1914" i="12"/>
  <c r="H1914" i="12"/>
  <c r="I1913" i="12"/>
  <c r="H1913" i="12"/>
  <c r="I1912" i="12"/>
  <c r="H1912" i="12"/>
  <c r="I1911" i="12"/>
  <c r="H1911" i="12"/>
  <c r="I1910" i="12"/>
  <c r="H1910" i="12"/>
  <c r="I1909" i="12"/>
  <c r="H1909" i="12"/>
  <c r="I1908" i="12"/>
  <c r="H1908" i="12"/>
  <c r="I1907" i="12"/>
  <c r="H1907" i="12"/>
  <c r="I1906" i="12"/>
  <c r="H1906" i="12"/>
  <c r="I1905" i="12"/>
  <c r="H1905" i="12"/>
  <c r="I1904" i="12"/>
  <c r="H1904" i="12"/>
  <c r="I1903" i="12"/>
  <c r="H1903" i="12"/>
  <c r="I1902" i="12"/>
  <c r="H1902" i="12"/>
  <c r="I1901" i="12"/>
  <c r="H1901" i="12"/>
  <c r="I1900" i="12"/>
  <c r="H1900" i="12"/>
  <c r="I1899" i="12"/>
  <c r="H1899" i="12"/>
  <c r="I1898" i="12"/>
  <c r="H1898" i="12"/>
  <c r="I1897" i="12"/>
  <c r="H1897" i="12"/>
  <c r="I1896" i="12"/>
  <c r="H1896" i="12"/>
  <c r="I1895" i="12"/>
  <c r="H1895" i="12"/>
  <c r="I1894" i="12"/>
  <c r="H1894" i="12"/>
  <c r="I1893" i="12"/>
  <c r="H1893" i="12"/>
  <c r="I1892" i="12"/>
  <c r="H1892" i="12"/>
  <c r="I1891" i="12"/>
  <c r="H1891" i="12"/>
  <c r="I1890" i="12"/>
  <c r="H1890" i="12"/>
  <c r="I1889" i="12"/>
  <c r="H1889" i="12"/>
  <c r="I1888" i="12"/>
  <c r="H1888" i="12"/>
  <c r="I1887" i="12"/>
  <c r="H1887" i="12"/>
  <c r="I1886" i="12"/>
  <c r="H1886" i="12"/>
  <c r="I1885" i="12"/>
  <c r="H1885" i="12"/>
  <c r="I1884" i="12"/>
  <c r="H1884" i="12"/>
  <c r="I1883" i="12"/>
  <c r="H1883" i="12"/>
  <c r="I1882" i="12"/>
  <c r="H1882" i="12"/>
  <c r="I1881" i="12"/>
  <c r="H1881" i="12"/>
  <c r="I1880" i="12"/>
  <c r="H1880" i="12"/>
  <c r="I1879" i="12"/>
  <c r="H1879" i="12"/>
  <c r="I1878" i="12"/>
  <c r="H1878" i="12"/>
  <c r="I1877" i="12"/>
  <c r="H1877" i="12"/>
  <c r="I1876" i="12"/>
  <c r="H1876" i="12"/>
  <c r="I1875" i="12"/>
  <c r="H1875" i="12"/>
  <c r="I1874" i="12"/>
  <c r="H1874" i="12"/>
  <c r="I1873" i="12"/>
  <c r="H1873" i="12"/>
  <c r="I1872" i="12"/>
  <c r="H1872" i="12"/>
  <c r="I1871" i="12"/>
  <c r="H1871" i="12"/>
  <c r="I1870" i="12"/>
  <c r="H1870" i="12"/>
  <c r="I1869" i="12"/>
  <c r="H1869" i="12"/>
  <c r="I1868" i="12"/>
  <c r="H1868" i="12"/>
  <c r="I1867" i="12"/>
  <c r="H1867" i="12"/>
  <c r="I1866" i="12"/>
  <c r="H1866" i="12"/>
  <c r="I1865" i="12"/>
  <c r="H1865" i="12"/>
  <c r="I1864" i="12"/>
  <c r="H1864" i="12"/>
  <c r="I1863" i="12"/>
  <c r="H1863" i="12"/>
  <c r="I1862" i="12"/>
  <c r="H1862" i="12"/>
  <c r="I1861" i="12"/>
  <c r="H1861" i="12"/>
  <c r="I1860" i="12"/>
  <c r="H1860" i="12"/>
  <c r="I1859" i="12"/>
  <c r="H1859" i="12"/>
  <c r="I1858" i="12"/>
  <c r="H1858" i="12"/>
  <c r="I1857" i="12"/>
  <c r="H1857" i="12"/>
  <c r="I1856" i="12"/>
  <c r="H1856" i="12"/>
  <c r="I1855" i="12"/>
  <c r="H1855" i="12"/>
  <c r="I1854" i="12"/>
  <c r="H1854" i="12"/>
  <c r="I1853" i="12"/>
  <c r="H1853" i="12"/>
  <c r="I1852" i="12"/>
  <c r="H1852" i="12"/>
  <c r="I1851" i="12"/>
  <c r="H1851" i="12"/>
  <c r="I1850" i="12"/>
  <c r="H1850" i="12"/>
  <c r="I1849" i="12"/>
  <c r="H1849" i="12"/>
  <c r="I1848" i="12"/>
  <c r="H1848" i="12"/>
  <c r="I1847" i="12"/>
  <c r="H1847" i="12"/>
  <c r="I1846" i="12"/>
  <c r="H1846" i="12"/>
  <c r="I1845" i="12"/>
  <c r="H1845" i="12"/>
  <c r="I1844" i="12"/>
  <c r="H1844" i="12"/>
  <c r="I1843" i="12"/>
  <c r="H1843" i="12"/>
  <c r="I1842" i="12"/>
  <c r="H1842" i="12"/>
  <c r="I1841" i="12"/>
  <c r="H1841" i="12"/>
  <c r="I1840" i="12"/>
  <c r="H1840" i="12"/>
  <c r="I1839" i="12"/>
  <c r="H1839" i="12"/>
  <c r="I1838" i="12"/>
  <c r="H1838" i="12"/>
  <c r="I1837" i="12"/>
  <c r="H1837" i="12"/>
  <c r="I1836" i="12"/>
  <c r="H1836" i="12"/>
  <c r="I1835" i="12"/>
  <c r="H1835" i="12"/>
  <c r="I1834" i="12"/>
  <c r="H1834" i="12"/>
  <c r="I1833" i="12"/>
  <c r="H1833" i="12"/>
  <c r="I1832" i="12"/>
  <c r="H1832" i="12"/>
  <c r="I1831" i="12"/>
  <c r="H1831" i="12"/>
  <c r="I1830" i="12"/>
  <c r="H1830" i="12"/>
  <c r="I1829" i="12"/>
  <c r="H1829" i="12"/>
  <c r="I1828" i="12"/>
  <c r="H1828" i="12"/>
  <c r="I1827" i="12"/>
  <c r="H1827" i="12"/>
  <c r="I1826" i="12"/>
  <c r="H1826" i="12"/>
  <c r="I1825" i="12"/>
  <c r="H1825" i="12"/>
  <c r="I1824" i="12"/>
  <c r="H1824" i="12"/>
  <c r="I1823" i="12"/>
  <c r="H1823" i="12"/>
  <c r="I1822" i="12"/>
  <c r="H1822" i="12"/>
  <c r="I1821" i="12"/>
  <c r="H1821" i="12"/>
  <c r="I1820" i="12"/>
  <c r="H1820" i="12"/>
  <c r="I1819" i="12"/>
  <c r="H1819" i="12"/>
  <c r="I1818" i="12"/>
  <c r="H1818" i="12"/>
  <c r="I1817" i="12"/>
  <c r="H1817" i="12"/>
  <c r="I1816" i="12"/>
  <c r="H1816" i="12"/>
  <c r="I1815" i="12"/>
  <c r="H1815" i="12"/>
  <c r="I1814" i="12"/>
  <c r="H1814" i="12"/>
  <c r="I1813" i="12"/>
  <c r="H1813" i="12"/>
  <c r="I1812" i="12"/>
  <c r="H1812" i="12"/>
  <c r="I1811" i="12"/>
  <c r="H1811" i="12"/>
  <c r="I1810" i="12"/>
  <c r="H1810" i="12"/>
  <c r="I1809" i="12"/>
  <c r="H1809" i="12"/>
  <c r="I1808" i="12"/>
  <c r="H1808" i="12"/>
  <c r="I1807" i="12"/>
  <c r="H1807" i="12"/>
  <c r="I1806" i="12"/>
  <c r="H1806" i="12"/>
  <c r="I1805" i="12"/>
  <c r="H1805" i="12"/>
  <c r="I1804" i="12"/>
  <c r="H1804" i="12"/>
  <c r="I1803" i="12"/>
  <c r="H1803" i="12"/>
  <c r="I1802" i="12"/>
  <c r="H1802" i="12"/>
  <c r="I1801" i="12"/>
  <c r="H1801" i="12"/>
  <c r="I1800" i="12"/>
  <c r="H1800" i="12"/>
  <c r="I1799" i="12"/>
  <c r="H1799" i="12"/>
  <c r="I1798" i="12"/>
  <c r="H1798" i="12"/>
  <c r="I1797" i="12"/>
  <c r="H1797" i="12"/>
  <c r="I1796" i="12"/>
  <c r="H1796" i="12"/>
  <c r="I1795" i="12"/>
  <c r="H1795" i="12"/>
  <c r="I1794" i="12"/>
  <c r="H1794" i="12"/>
  <c r="I1793" i="12"/>
  <c r="H1793" i="12"/>
  <c r="I1792" i="12"/>
  <c r="H1792" i="12"/>
  <c r="I1791" i="12"/>
  <c r="H1791" i="12"/>
  <c r="I1790" i="12"/>
  <c r="H1790" i="12"/>
  <c r="I1789" i="12"/>
  <c r="H1789" i="12"/>
  <c r="I1788" i="12"/>
  <c r="H1788" i="12"/>
  <c r="I1787" i="12"/>
  <c r="H1787" i="12"/>
  <c r="I1786" i="12"/>
  <c r="H1786" i="12"/>
  <c r="I1785" i="12"/>
  <c r="H1785" i="12"/>
  <c r="I1784" i="12"/>
  <c r="H1784" i="12"/>
  <c r="I1783" i="12"/>
  <c r="H1783" i="12"/>
  <c r="I1782" i="12"/>
  <c r="H1782" i="12"/>
  <c r="I1781" i="12"/>
  <c r="H1781" i="12"/>
  <c r="I1780" i="12"/>
  <c r="H1780" i="12"/>
  <c r="I1779" i="12"/>
  <c r="H1779" i="12"/>
  <c r="I1778" i="12"/>
  <c r="H1778" i="12"/>
  <c r="I1777" i="12"/>
  <c r="H1777" i="12"/>
  <c r="I1776" i="12"/>
  <c r="H1776" i="12"/>
  <c r="I1775" i="12"/>
  <c r="H1775" i="12"/>
  <c r="I1774" i="12"/>
  <c r="H1774" i="12"/>
  <c r="I1773" i="12"/>
  <c r="H1773" i="12"/>
  <c r="I1772" i="12"/>
  <c r="H1772" i="12"/>
  <c r="I1771" i="12"/>
  <c r="H1771" i="12"/>
  <c r="I1770" i="12"/>
  <c r="H1770" i="12"/>
  <c r="I1769" i="12"/>
  <c r="H1769" i="12"/>
  <c r="I1768" i="12"/>
  <c r="H1768" i="12"/>
  <c r="I1767" i="12"/>
  <c r="H1767" i="12"/>
  <c r="I1766" i="12"/>
  <c r="H1766" i="12"/>
  <c r="I1765" i="12"/>
  <c r="H1765" i="12"/>
  <c r="I1764" i="12"/>
  <c r="H1764" i="12"/>
  <c r="I1763" i="12"/>
  <c r="H1763" i="12"/>
  <c r="I1762" i="12"/>
  <c r="H1762" i="12"/>
  <c r="I1761" i="12"/>
  <c r="H1761" i="12"/>
  <c r="I1760" i="12"/>
  <c r="H1760" i="12"/>
  <c r="I1759" i="12"/>
  <c r="H1759" i="12"/>
  <c r="I1758" i="12"/>
  <c r="H1758" i="12"/>
  <c r="I1757" i="12"/>
  <c r="H1757" i="12"/>
  <c r="I1756" i="12"/>
  <c r="H1756" i="12"/>
  <c r="I1755" i="12"/>
  <c r="H1755" i="12"/>
  <c r="I1754" i="12"/>
  <c r="H1754" i="12"/>
  <c r="I1753" i="12"/>
  <c r="H1753" i="12"/>
  <c r="I1752" i="12"/>
  <c r="H1752" i="12"/>
  <c r="I1751" i="12"/>
  <c r="H1751" i="12"/>
  <c r="I1750" i="12"/>
  <c r="H1750" i="12"/>
  <c r="I1749" i="12"/>
  <c r="H1749" i="12"/>
  <c r="I1748" i="12"/>
  <c r="H1748" i="12"/>
  <c r="I1747" i="12"/>
  <c r="H1747" i="12"/>
  <c r="I1746" i="12"/>
  <c r="H1746" i="12"/>
  <c r="I1745" i="12"/>
  <c r="H1745" i="12"/>
  <c r="I1744" i="12"/>
  <c r="H1744" i="12"/>
  <c r="I1743" i="12"/>
  <c r="H1743" i="12"/>
  <c r="I1742" i="12"/>
  <c r="H1742" i="12"/>
  <c r="I1741" i="12"/>
  <c r="H1741" i="12"/>
  <c r="I1740" i="12"/>
  <c r="H1740" i="12"/>
  <c r="I1739" i="12"/>
  <c r="H1739" i="12"/>
  <c r="I1738" i="12"/>
  <c r="H1738" i="12"/>
  <c r="I1737" i="12"/>
  <c r="H1737" i="12"/>
  <c r="I1736" i="12"/>
  <c r="H1736" i="12"/>
  <c r="I1735" i="12"/>
  <c r="H1735" i="12"/>
  <c r="I1734" i="12"/>
  <c r="H1734" i="12"/>
  <c r="I1733" i="12"/>
  <c r="H1733" i="12"/>
  <c r="I1732" i="12"/>
  <c r="H1732" i="12"/>
  <c r="I1731" i="12"/>
  <c r="H1731" i="12"/>
  <c r="I1730" i="12"/>
  <c r="H1730" i="12"/>
  <c r="I1729" i="12"/>
  <c r="H1729" i="12"/>
  <c r="I1728" i="12"/>
  <c r="H1728" i="12"/>
  <c r="I1727" i="12"/>
  <c r="H1727" i="12"/>
  <c r="I1726" i="12"/>
  <c r="H1726" i="12"/>
  <c r="I1725" i="12"/>
  <c r="H1725" i="12"/>
  <c r="I1724" i="12"/>
  <c r="H1724" i="12"/>
  <c r="I1723" i="12"/>
  <c r="H1723" i="12"/>
  <c r="I1722" i="12"/>
  <c r="H1722" i="12"/>
  <c r="I1721" i="12"/>
  <c r="H1721" i="12"/>
  <c r="I1720" i="12"/>
  <c r="H1720" i="12"/>
  <c r="I1719" i="12"/>
  <c r="H1719" i="12"/>
  <c r="I1718" i="12"/>
  <c r="H1718" i="12"/>
  <c r="I1717" i="12"/>
  <c r="H1717" i="12"/>
  <c r="I1716" i="12"/>
  <c r="H1716" i="12"/>
  <c r="I1715" i="12"/>
  <c r="H1715" i="12"/>
  <c r="I1714" i="12"/>
  <c r="H1714" i="12"/>
  <c r="I1713" i="12"/>
  <c r="H1713" i="12"/>
  <c r="I1712" i="12"/>
  <c r="H1712" i="12"/>
  <c r="I1711" i="12"/>
  <c r="H1711" i="12"/>
  <c r="I1710" i="12"/>
  <c r="H1710" i="12"/>
  <c r="I1709" i="12"/>
  <c r="H1709" i="12"/>
  <c r="I1708" i="12"/>
  <c r="H1708" i="12"/>
  <c r="I1707" i="12"/>
  <c r="H1707" i="12"/>
  <c r="I1706" i="12"/>
  <c r="H1706" i="12"/>
  <c r="I1705" i="12"/>
  <c r="H1705" i="12"/>
  <c r="I1704" i="12"/>
  <c r="H1704" i="12"/>
  <c r="I1703" i="12"/>
  <c r="H1703" i="12"/>
  <c r="I1702" i="12"/>
  <c r="H1702" i="12"/>
  <c r="I1701" i="12"/>
  <c r="H1701" i="12"/>
  <c r="I1700" i="12"/>
  <c r="H1700" i="12"/>
  <c r="I1699" i="12"/>
  <c r="H1699" i="12"/>
  <c r="I1698" i="12"/>
  <c r="H1698" i="12"/>
  <c r="I1697" i="12"/>
  <c r="H1697" i="12"/>
  <c r="I1696" i="12"/>
  <c r="H1696" i="12"/>
  <c r="I1695" i="12"/>
  <c r="H1695" i="12"/>
  <c r="I1694" i="12"/>
  <c r="H1694" i="12"/>
  <c r="I1693" i="12"/>
  <c r="H1693" i="12"/>
  <c r="I1692" i="12"/>
  <c r="H1692" i="12"/>
  <c r="I1691" i="12"/>
  <c r="H1691" i="12"/>
  <c r="I1690" i="12"/>
  <c r="H1690" i="12"/>
  <c r="I1689" i="12"/>
  <c r="H1689" i="12"/>
  <c r="I1688" i="12"/>
  <c r="H1688" i="12"/>
  <c r="I1687" i="12"/>
  <c r="H1687" i="12"/>
  <c r="I1686" i="12"/>
  <c r="H1686" i="12"/>
  <c r="I1685" i="12"/>
  <c r="H1685" i="12"/>
  <c r="I1684" i="12"/>
  <c r="H1684" i="12"/>
  <c r="I1683" i="12"/>
  <c r="H1683" i="12"/>
  <c r="I1682" i="12"/>
  <c r="H1682" i="12"/>
  <c r="I1681" i="12"/>
  <c r="H1681" i="12"/>
  <c r="I1680" i="12"/>
  <c r="H1680" i="12"/>
  <c r="I1679" i="12"/>
  <c r="H1679" i="12"/>
  <c r="I1678" i="12"/>
  <c r="H1678" i="12"/>
  <c r="I1677" i="12"/>
  <c r="H1677" i="12"/>
  <c r="I1676" i="12"/>
  <c r="H1676" i="12"/>
  <c r="I1675" i="12"/>
  <c r="H1675" i="12"/>
  <c r="I1674" i="12"/>
  <c r="H1674" i="12"/>
  <c r="I1673" i="12"/>
  <c r="H1673" i="12"/>
  <c r="I1672" i="12"/>
  <c r="H1672" i="12"/>
  <c r="I1671" i="12"/>
  <c r="H1671" i="12"/>
  <c r="I1670" i="12"/>
  <c r="H1670" i="12"/>
  <c r="I1669" i="12"/>
  <c r="H1669" i="12"/>
  <c r="I1668" i="12"/>
  <c r="H1668" i="12"/>
  <c r="I1667" i="12"/>
  <c r="H1667" i="12"/>
  <c r="I1666" i="12"/>
  <c r="H1666" i="12"/>
  <c r="I1665" i="12"/>
  <c r="H1665" i="12"/>
  <c r="I1664" i="12"/>
  <c r="H1664" i="12"/>
  <c r="I1663" i="12"/>
  <c r="H1663" i="12"/>
  <c r="I1662" i="12"/>
  <c r="H1662" i="12"/>
  <c r="I1661" i="12"/>
  <c r="H1661" i="12"/>
  <c r="I1660" i="12"/>
  <c r="H1660" i="12"/>
  <c r="I1659" i="12"/>
  <c r="H1659" i="12"/>
  <c r="I1658" i="12"/>
  <c r="H1658" i="12"/>
  <c r="I1657" i="12"/>
  <c r="H1657" i="12"/>
  <c r="I1656" i="12"/>
  <c r="H1656" i="12"/>
  <c r="I1655" i="12"/>
  <c r="H1655" i="12"/>
  <c r="I1654" i="12"/>
  <c r="H1654" i="12"/>
  <c r="I1653" i="12"/>
  <c r="H1653" i="12"/>
  <c r="I1652" i="12"/>
  <c r="H1652" i="12"/>
  <c r="I1651" i="12"/>
  <c r="H1651" i="12"/>
  <c r="I1650" i="12"/>
  <c r="H1650" i="12"/>
  <c r="I1649" i="12"/>
  <c r="H1649" i="12"/>
  <c r="I1648" i="12"/>
  <c r="H1648" i="12"/>
  <c r="I1647" i="12"/>
  <c r="H1647" i="12"/>
  <c r="I1646" i="12"/>
  <c r="H1646" i="12"/>
  <c r="I1645" i="12"/>
  <c r="H1645" i="12"/>
  <c r="I1644" i="12"/>
  <c r="H1644" i="12"/>
  <c r="I1643" i="12"/>
  <c r="H1643" i="12"/>
  <c r="I1642" i="12"/>
  <c r="H1642" i="12"/>
  <c r="I1641" i="12"/>
  <c r="H1641" i="12"/>
  <c r="I1640" i="12"/>
  <c r="H1640" i="12"/>
  <c r="I1639" i="12"/>
  <c r="H1639" i="12"/>
  <c r="I1638" i="12"/>
  <c r="H1638" i="12"/>
  <c r="I1637" i="12"/>
  <c r="H1637" i="12"/>
  <c r="I1636" i="12"/>
  <c r="H1636" i="12"/>
  <c r="I1635" i="12"/>
  <c r="H1635" i="12"/>
  <c r="I1634" i="12"/>
  <c r="H1634" i="12"/>
  <c r="I1633" i="12"/>
  <c r="H1633" i="12"/>
  <c r="I1632" i="12"/>
  <c r="H1632" i="12"/>
  <c r="I1631" i="12"/>
  <c r="H1631" i="12"/>
  <c r="I1630" i="12"/>
  <c r="H1630" i="12"/>
  <c r="I1629" i="12"/>
  <c r="H1629" i="12"/>
  <c r="I1628" i="12"/>
  <c r="H1628" i="12"/>
  <c r="I1627" i="12"/>
  <c r="H1627" i="12"/>
  <c r="I1626" i="12"/>
  <c r="H1626" i="12"/>
  <c r="I1625" i="12"/>
  <c r="H1625" i="12"/>
  <c r="I1624" i="12"/>
  <c r="H1624" i="12"/>
  <c r="I1623" i="12"/>
  <c r="H1623" i="12"/>
  <c r="I1622" i="12"/>
  <c r="H1622" i="12"/>
  <c r="I1621" i="12"/>
  <c r="H1621" i="12"/>
  <c r="I1620" i="12"/>
  <c r="H1620" i="12"/>
  <c r="I1619" i="12"/>
  <c r="H1619" i="12"/>
  <c r="I1618" i="12"/>
  <c r="H1618" i="12"/>
  <c r="I1617" i="12"/>
  <c r="H1617" i="12"/>
  <c r="I1616" i="12"/>
  <c r="H1616" i="12"/>
  <c r="I1615" i="12"/>
  <c r="H1615" i="12"/>
  <c r="I1614" i="12"/>
  <c r="H1614" i="12"/>
  <c r="I1613" i="12"/>
  <c r="H1613" i="12"/>
  <c r="I1612" i="12"/>
  <c r="H1612" i="12"/>
  <c r="I1611" i="12"/>
  <c r="H1611" i="12"/>
  <c r="I1610" i="12"/>
  <c r="H1610" i="12"/>
  <c r="I1609" i="12"/>
  <c r="H1609" i="12"/>
  <c r="I1608" i="12"/>
  <c r="H1608" i="12"/>
  <c r="I1607" i="12"/>
  <c r="H1607" i="12"/>
  <c r="I1606" i="12"/>
  <c r="H1606" i="12"/>
  <c r="I1605" i="12"/>
  <c r="H1605" i="12"/>
  <c r="I1604" i="12"/>
  <c r="H1604" i="12"/>
  <c r="I1603" i="12"/>
  <c r="H1603" i="12"/>
  <c r="I1602" i="12"/>
  <c r="H1602" i="12"/>
  <c r="I1601" i="12"/>
  <c r="H1601" i="12"/>
  <c r="I1600" i="12"/>
  <c r="H1600" i="12"/>
  <c r="I1599" i="12"/>
  <c r="H1599" i="12"/>
  <c r="I1598" i="12"/>
  <c r="H1598" i="12"/>
  <c r="I1597" i="12"/>
  <c r="H1597" i="12"/>
  <c r="I1596" i="12"/>
  <c r="H1596" i="12"/>
  <c r="I1595" i="12"/>
  <c r="H1595" i="12"/>
  <c r="I1594" i="12"/>
  <c r="H1594" i="12"/>
  <c r="I1593" i="12"/>
  <c r="H1593" i="12"/>
  <c r="I1592" i="12"/>
  <c r="H1592" i="12"/>
  <c r="I1591" i="12"/>
  <c r="H1591" i="12"/>
  <c r="I1590" i="12"/>
  <c r="H1590" i="12"/>
  <c r="I1589" i="12"/>
  <c r="H1589" i="12"/>
  <c r="I1588" i="12"/>
  <c r="H1588" i="12"/>
  <c r="I1587" i="12"/>
  <c r="H1587" i="12"/>
  <c r="I1586" i="12"/>
  <c r="H1586" i="12"/>
  <c r="I1585" i="12"/>
  <c r="H1585" i="12"/>
  <c r="I1584" i="12"/>
  <c r="H1584" i="12"/>
  <c r="I1583" i="12"/>
  <c r="H1583" i="12"/>
  <c r="I1582" i="12"/>
  <c r="H1582" i="12"/>
  <c r="I1581" i="12"/>
  <c r="H1581" i="12"/>
  <c r="I1580" i="12"/>
  <c r="H1580" i="12"/>
  <c r="I1579" i="12"/>
  <c r="H1579" i="12"/>
  <c r="I1578" i="12"/>
  <c r="H1578" i="12"/>
  <c r="I1577" i="12"/>
  <c r="H1577" i="12"/>
  <c r="I1576" i="12"/>
  <c r="H1576" i="12"/>
  <c r="I1575" i="12"/>
  <c r="H1575" i="12"/>
  <c r="I1574" i="12"/>
  <c r="H1574" i="12"/>
  <c r="I1573" i="12"/>
  <c r="H1573" i="12"/>
  <c r="I1572" i="12"/>
  <c r="H1572" i="12"/>
  <c r="I1571" i="12"/>
  <c r="H1571" i="12"/>
  <c r="I1570" i="12"/>
  <c r="H1570" i="12"/>
  <c r="I1569" i="12"/>
  <c r="H1569" i="12"/>
  <c r="I1568" i="12"/>
  <c r="H1568" i="12"/>
  <c r="I1567" i="12"/>
  <c r="H1567" i="12"/>
  <c r="I1566" i="12"/>
  <c r="H1566" i="12"/>
  <c r="I1565" i="12"/>
  <c r="H1565" i="12"/>
  <c r="I1564" i="12"/>
  <c r="H1564" i="12"/>
  <c r="I1563" i="12"/>
  <c r="H1563" i="12"/>
  <c r="I1562" i="12"/>
  <c r="H1562" i="12"/>
  <c r="I1561" i="12"/>
  <c r="H1561" i="12"/>
  <c r="I1560" i="12"/>
  <c r="H1560" i="12"/>
  <c r="I1559" i="12"/>
  <c r="H1559" i="12"/>
  <c r="I1558" i="12"/>
  <c r="H1558" i="12"/>
  <c r="I1557" i="12"/>
  <c r="H1557" i="12"/>
  <c r="I1556" i="12"/>
  <c r="H1556" i="12"/>
  <c r="I1555" i="12"/>
  <c r="H1555" i="12"/>
  <c r="I1554" i="12"/>
  <c r="H1554" i="12"/>
  <c r="I1553" i="12"/>
  <c r="H1553" i="12"/>
  <c r="I1552" i="12"/>
  <c r="H1552" i="12"/>
  <c r="I1551" i="12"/>
  <c r="H1551" i="12"/>
  <c r="I1550" i="12"/>
  <c r="H1550" i="12"/>
  <c r="I1549" i="12"/>
  <c r="H1549" i="12"/>
  <c r="I1548" i="12"/>
  <c r="H1548" i="12"/>
  <c r="I1547" i="12"/>
  <c r="H1547" i="12"/>
  <c r="I1546" i="12"/>
  <c r="H1546" i="12"/>
  <c r="I1545" i="12"/>
  <c r="H1545" i="12"/>
  <c r="I1544" i="12"/>
  <c r="H1544" i="12"/>
  <c r="I1543" i="12"/>
  <c r="H1543" i="12"/>
  <c r="I1542" i="12"/>
  <c r="H1542" i="12"/>
  <c r="I1541" i="12"/>
  <c r="H1541" i="12"/>
  <c r="I1540" i="12"/>
  <c r="H1540" i="12"/>
  <c r="I1539" i="12"/>
  <c r="H1539" i="12"/>
  <c r="I1538" i="12"/>
  <c r="H1538" i="12"/>
  <c r="I1537" i="12"/>
  <c r="H1537" i="12"/>
  <c r="I1536" i="12"/>
  <c r="H1536" i="12"/>
  <c r="I1535" i="12"/>
  <c r="H1535" i="12"/>
  <c r="I1534" i="12"/>
  <c r="H1534" i="12"/>
  <c r="I1533" i="12"/>
  <c r="H1533" i="12"/>
  <c r="I1532" i="12"/>
  <c r="H1532" i="12"/>
  <c r="I1531" i="12"/>
  <c r="H1531" i="12"/>
  <c r="I1530" i="12"/>
  <c r="H1530" i="12"/>
  <c r="I1529" i="12"/>
  <c r="H1529" i="12"/>
  <c r="I1528" i="12"/>
  <c r="H1528" i="12"/>
  <c r="I1527" i="12"/>
  <c r="H1527" i="12"/>
  <c r="I1526" i="12"/>
  <c r="H1526" i="12"/>
  <c r="I1525" i="12"/>
  <c r="H1525" i="12"/>
  <c r="I1524" i="12"/>
  <c r="H1524" i="12"/>
  <c r="I1523" i="12"/>
  <c r="H1523" i="12"/>
  <c r="I1522" i="12"/>
  <c r="H1522" i="12"/>
  <c r="I1521" i="12"/>
  <c r="H1521" i="12"/>
  <c r="I1520" i="12"/>
  <c r="H1520" i="12"/>
  <c r="I1519" i="12"/>
  <c r="H1519" i="12"/>
  <c r="I1518" i="12"/>
  <c r="H1518" i="12"/>
  <c r="I1517" i="12"/>
  <c r="H1517" i="12"/>
  <c r="I1516" i="12"/>
  <c r="H1516" i="12"/>
  <c r="I1515" i="12"/>
  <c r="H1515" i="12"/>
  <c r="I1514" i="12"/>
  <c r="H1514" i="12"/>
  <c r="I1513" i="12"/>
  <c r="H1513" i="12"/>
  <c r="I1512" i="12"/>
  <c r="H1512" i="12"/>
  <c r="I1511" i="12"/>
  <c r="H1511" i="12"/>
  <c r="I1510" i="12"/>
  <c r="H1510" i="12"/>
  <c r="I1509" i="12"/>
  <c r="H1509" i="12"/>
  <c r="I1508" i="12"/>
  <c r="H1508" i="12"/>
  <c r="I1507" i="12"/>
  <c r="H1507" i="12"/>
  <c r="I1506" i="12"/>
  <c r="H1506" i="12"/>
  <c r="I1505" i="12"/>
  <c r="H1505" i="12"/>
  <c r="I1504" i="12"/>
  <c r="H1504" i="12"/>
  <c r="I1503" i="12"/>
  <c r="H1503" i="12"/>
  <c r="I1502" i="12"/>
  <c r="H1502" i="12"/>
  <c r="I1501" i="12"/>
  <c r="H1501" i="12"/>
  <c r="I1500" i="12"/>
  <c r="H1500" i="12"/>
  <c r="I1499" i="12"/>
  <c r="H1499" i="12"/>
  <c r="I1498" i="12"/>
  <c r="H1498" i="12"/>
  <c r="I1497" i="12"/>
  <c r="H1497" i="12"/>
  <c r="I1496" i="12"/>
  <c r="H1496" i="12"/>
  <c r="I1495" i="12"/>
  <c r="H1495" i="12"/>
  <c r="I1494" i="12"/>
  <c r="H1494" i="12"/>
  <c r="I1493" i="12"/>
  <c r="H1493" i="12"/>
  <c r="I1492" i="12"/>
  <c r="H1492" i="12"/>
  <c r="I1491" i="12"/>
  <c r="H1491" i="12"/>
  <c r="I1490" i="12"/>
  <c r="H1490" i="12"/>
  <c r="I1489" i="12"/>
  <c r="H1489" i="12"/>
  <c r="I1488" i="12"/>
  <c r="H1488" i="12"/>
  <c r="I1487" i="12"/>
  <c r="H1487" i="12"/>
  <c r="I1486" i="12"/>
  <c r="H1486" i="12"/>
  <c r="I1485" i="12"/>
  <c r="H1485" i="12"/>
  <c r="I1484" i="12"/>
  <c r="H1484" i="12"/>
  <c r="I1483" i="12"/>
  <c r="H1483" i="12"/>
  <c r="I1482" i="12"/>
  <c r="H1482" i="12"/>
  <c r="I1481" i="12"/>
  <c r="H1481" i="12"/>
  <c r="I1480" i="12"/>
  <c r="H1480" i="12"/>
  <c r="I1479" i="12"/>
  <c r="H1479" i="12"/>
  <c r="I1478" i="12"/>
  <c r="H1478" i="12"/>
  <c r="I1477" i="12"/>
  <c r="H1477" i="12"/>
  <c r="I1476" i="12"/>
  <c r="H1476" i="12"/>
  <c r="I1475" i="12"/>
  <c r="H1475" i="12"/>
  <c r="I1474" i="12"/>
  <c r="H1474" i="12"/>
  <c r="I1473" i="12"/>
  <c r="H1473" i="12"/>
  <c r="I1472" i="12"/>
  <c r="H1472" i="12"/>
  <c r="I1471" i="12"/>
  <c r="H1471" i="12"/>
  <c r="I1470" i="12"/>
  <c r="H1470" i="12"/>
  <c r="I1469" i="12"/>
  <c r="H1469" i="12"/>
  <c r="I1468" i="12"/>
  <c r="H1468" i="12"/>
  <c r="I1467" i="12"/>
  <c r="H1467" i="12"/>
  <c r="I1466" i="12"/>
  <c r="H1466" i="12"/>
  <c r="I1465" i="12"/>
  <c r="H1465" i="12"/>
  <c r="I1464" i="12"/>
  <c r="H1464" i="12"/>
  <c r="I1463" i="12"/>
  <c r="H1463" i="12"/>
  <c r="I1462" i="12"/>
  <c r="H1462" i="12"/>
  <c r="I1461" i="12"/>
  <c r="H1461" i="12"/>
  <c r="I1460" i="12"/>
  <c r="H1460" i="12"/>
  <c r="I1459" i="12"/>
  <c r="H1459" i="12"/>
  <c r="I1458" i="12"/>
  <c r="H1458" i="12"/>
  <c r="I1457" i="12"/>
  <c r="H1457" i="12"/>
  <c r="I1456" i="12"/>
  <c r="H1456" i="12"/>
  <c r="I1455" i="12"/>
  <c r="H1455" i="12"/>
  <c r="I1454" i="12"/>
  <c r="H1454" i="12"/>
  <c r="I1453" i="12"/>
  <c r="H1453" i="12"/>
  <c r="I1452" i="12"/>
  <c r="H1452" i="12"/>
  <c r="I1451" i="12"/>
  <c r="H1451" i="12"/>
  <c r="I1450" i="12"/>
  <c r="H1450" i="12"/>
  <c r="I1449" i="12"/>
  <c r="H1449" i="12"/>
  <c r="I1448" i="12"/>
  <c r="H1448" i="12"/>
  <c r="I1447" i="12"/>
  <c r="H1447" i="12"/>
  <c r="I1446" i="12"/>
  <c r="H1446" i="12"/>
  <c r="I1445" i="12"/>
  <c r="H1445" i="12"/>
  <c r="I1444" i="12"/>
  <c r="H1444" i="12"/>
  <c r="I1443" i="12"/>
  <c r="H1443" i="12"/>
  <c r="I1442" i="12"/>
  <c r="H1442" i="12"/>
  <c r="I1441" i="12"/>
  <c r="H1441" i="12"/>
  <c r="I1440" i="12"/>
  <c r="H1440" i="12"/>
  <c r="I1439" i="12"/>
  <c r="H1439" i="12"/>
  <c r="I1438" i="12"/>
  <c r="H1438" i="12"/>
  <c r="I1437" i="12"/>
  <c r="H1437" i="12"/>
  <c r="I1436" i="12"/>
  <c r="H1436" i="12"/>
  <c r="I1435" i="12"/>
  <c r="H1435" i="12"/>
  <c r="I1434" i="12"/>
  <c r="H1434" i="12"/>
  <c r="I1433" i="12"/>
  <c r="H1433" i="12"/>
  <c r="I1432" i="12"/>
  <c r="H1432" i="12"/>
  <c r="I1431" i="12"/>
  <c r="H1431" i="12"/>
  <c r="I1430" i="12"/>
  <c r="H1430" i="12"/>
  <c r="I1429" i="12"/>
  <c r="H1429" i="12"/>
  <c r="I1428" i="12"/>
  <c r="H1428" i="12"/>
  <c r="I1427" i="12"/>
  <c r="H1427" i="12"/>
  <c r="I1426" i="12"/>
  <c r="H1426" i="12"/>
  <c r="I1425" i="12"/>
  <c r="H1425" i="12"/>
  <c r="I1424" i="12"/>
  <c r="H1424" i="12"/>
  <c r="I1423" i="12"/>
  <c r="H1423" i="12"/>
  <c r="I1422" i="12"/>
  <c r="H1422" i="12"/>
  <c r="I1421" i="12"/>
  <c r="H1421" i="12"/>
  <c r="I1420" i="12"/>
  <c r="H1420" i="12"/>
  <c r="I1419" i="12"/>
  <c r="H1419" i="12"/>
  <c r="I1418" i="12"/>
  <c r="H1418" i="12"/>
  <c r="I1417" i="12"/>
  <c r="H1417" i="12"/>
  <c r="I1416" i="12"/>
  <c r="H1416" i="12"/>
  <c r="I1415" i="12"/>
  <c r="H1415" i="12"/>
  <c r="I1414" i="12"/>
  <c r="H1414" i="12"/>
  <c r="I1413" i="12"/>
  <c r="H1413" i="12"/>
  <c r="I1412" i="12"/>
  <c r="H1412" i="12"/>
  <c r="I1411" i="12"/>
  <c r="H1411" i="12"/>
  <c r="I1410" i="12"/>
  <c r="H1410" i="12"/>
  <c r="I1409" i="12"/>
  <c r="H1409" i="12"/>
  <c r="I1408" i="12"/>
  <c r="H1408" i="12"/>
  <c r="I1407" i="12"/>
  <c r="H1407" i="12"/>
  <c r="I1406" i="12"/>
  <c r="H1406" i="12"/>
  <c r="I1405" i="12"/>
  <c r="H1405" i="12"/>
  <c r="I1404" i="12"/>
  <c r="H1404" i="12"/>
  <c r="I1403" i="12"/>
  <c r="H1403" i="12"/>
  <c r="I1402" i="12"/>
  <c r="H1402" i="12"/>
  <c r="I1401" i="12"/>
  <c r="H1401" i="12"/>
  <c r="I1400" i="12"/>
  <c r="H1400" i="12"/>
  <c r="I1399" i="12"/>
  <c r="H1399" i="12"/>
  <c r="I1398" i="12"/>
  <c r="H1398" i="12"/>
  <c r="I1397" i="12"/>
  <c r="H1397" i="12"/>
  <c r="I1396" i="12"/>
  <c r="H1396" i="12"/>
  <c r="I1395" i="12"/>
  <c r="H1395" i="12"/>
  <c r="I1394" i="12"/>
  <c r="H1394" i="12"/>
  <c r="I1393" i="12"/>
  <c r="H1393" i="12"/>
  <c r="I1392" i="12"/>
  <c r="H1392" i="12"/>
  <c r="I1391" i="12"/>
  <c r="H1391" i="12"/>
  <c r="I1390" i="12"/>
  <c r="H1390" i="12"/>
  <c r="I1389" i="12"/>
  <c r="H1389" i="12"/>
  <c r="I1388" i="12"/>
  <c r="H1388" i="12"/>
  <c r="I1387" i="12"/>
  <c r="H1387" i="12"/>
  <c r="I1386" i="12"/>
  <c r="H1386" i="12"/>
  <c r="I1385" i="12"/>
  <c r="H1385" i="12"/>
  <c r="I1384" i="12"/>
  <c r="H1384" i="12"/>
  <c r="I1383" i="12"/>
  <c r="H1383" i="12"/>
  <c r="I1382" i="12"/>
  <c r="H1382" i="12"/>
  <c r="I1381" i="12"/>
  <c r="H1381" i="12"/>
  <c r="I1380" i="12"/>
  <c r="H1380" i="12"/>
  <c r="I1379" i="12"/>
  <c r="H1379" i="12"/>
  <c r="I1378" i="12"/>
  <c r="H1378" i="12"/>
  <c r="I1377" i="12"/>
  <c r="H1377" i="12"/>
  <c r="I1376" i="12"/>
  <c r="H1376" i="12"/>
  <c r="I1375" i="12"/>
  <c r="H1375" i="12"/>
  <c r="I1374" i="12"/>
  <c r="H1374" i="12"/>
  <c r="I1373" i="12"/>
  <c r="H1373" i="12"/>
  <c r="I1372" i="12"/>
  <c r="H1372" i="12"/>
  <c r="I1371" i="12"/>
  <c r="H1371" i="12"/>
  <c r="I1370" i="12"/>
  <c r="H1370" i="12"/>
  <c r="I1369" i="12"/>
  <c r="H1369" i="12"/>
  <c r="I1368" i="12"/>
  <c r="H1368" i="12"/>
  <c r="I1367" i="12"/>
  <c r="H1367" i="12"/>
  <c r="I1366" i="12"/>
  <c r="H1366" i="12"/>
  <c r="I1365" i="12"/>
  <c r="H1365" i="12"/>
  <c r="I1364" i="12"/>
  <c r="H1364" i="12"/>
  <c r="I1363" i="12"/>
  <c r="H1363" i="12"/>
  <c r="I1362" i="12"/>
  <c r="H1362" i="12"/>
  <c r="I1361" i="12"/>
  <c r="H1361" i="12"/>
  <c r="I1360" i="12"/>
  <c r="H1360" i="12"/>
  <c r="I1359" i="12"/>
  <c r="H1359" i="12"/>
  <c r="I1358" i="12"/>
  <c r="H1358" i="12"/>
  <c r="I1357" i="12"/>
  <c r="H1357" i="12"/>
  <c r="I1356" i="12"/>
  <c r="H1356" i="12"/>
  <c r="I1355" i="12"/>
  <c r="H1355" i="12"/>
  <c r="I1354" i="12"/>
  <c r="H1354" i="12"/>
  <c r="I1353" i="12"/>
  <c r="H1353" i="12"/>
  <c r="I1352" i="12"/>
  <c r="H1352" i="12"/>
  <c r="I1351" i="12"/>
  <c r="H1351" i="12"/>
  <c r="I1350" i="12"/>
  <c r="H1350" i="12"/>
  <c r="I1349" i="12"/>
  <c r="H1349" i="12"/>
  <c r="I1348" i="12"/>
  <c r="H1348" i="12"/>
  <c r="I1347" i="12"/>
  <c r="H1347" i="12"/>
  <c r="I1346" i="12"/>
  <c r="H1346" i="12"/>
  <c r="I1345" i="12"/>
  <c r="H1345" i="12"/>
  <c r="I1344" i="12"/>
  <c r="H1344" i="12"/>
  <c r="I1343" i="12"/>
  <c r="H1343" i="12"/>
  <c r="I1342" i="12"/>
  <c r="H1342" i="12"/>
  <c r="I1341" i="12"/>
  <c r="H1341" i="12"/>
  <c r="I1340" i="12"/>
  <c r="H1340" i="12"/>
  <c r="I1339" i="12"/>
  <c r="H1339" i="12"/>
  <c r="I1338" i="12"/>
  <c r="H1338" i="12"/>
  <c r="I1337" i="12"/>
  <c r="H1337" i="12"/>
  <c r="I1336" i="12"/>
  <c r="H1336" i="12"/>
  <c r="I1335" i="12"/>
  <c r="H1335" i="12"/>
  <c r="I1334" i="12"/>
  <c r="H1334" i="12"/>
  <c r="I1333" i="12"/>
  <c r="H1333" i="12"/>
  <c r="I1332" i="12"/>
  <c r="H1332" i="12"/>
  <c r="I1331" i="12"/>
  <c r="H1331" i="12"/>
  <c r="I1330" i="12"/>
  <c r="H1330" i="12"/>
  <c r="I1329" i="12"/>
  <c r="H1329" i="12"/>
  <c r="I1328" i="12"/>
  <c r="H1328" i="12"/>
  <c r="I1327" i="12"/>
  <c r="H1327" i="12"/>
  <c r="I1326" i="12"/>
  <c r="H1326" i="12"/>
  <c r="I1325" i="12"/>
  <c r="H1325" i="12"/>
  <c r="I1324" i="12"/>
  <c r="H1324" i="12"/>
  <c r="I1323" i="12"/>
  <c r="H1323" i="12"/>
  <c r="I1322" i="12"/>
  <c r="H1322" i="12"/>
  <c r="I1321" i="12"/>
  <c r="H1321" i="12"/>
  <c r="I1320" i="12"/>
  <c r="H1320" i="12"/>
  <c r="I1319" i="12"/>
  <c r="H1319" i="12"/>
  <c r="I1318" i="12"/>
  <c r="H1318" i="12"/>
  <c r="I1317" i="12"/>
  <c r="H1317" i="12"/>
  <c r="I1316" i="12"/>
  <c r="H1316" i="12"/>
  <c r="I1315" i="12"/>
  <c r="H1315" i="12"/>
  <c r="I1314" i="12"/>
  <c r="H1314" i="12"/>
  <c r="I1313" i="12"/>
  <c r="H1313" i="12"/>
  <c r="I1312" i="12"/>
  <c r="H1312" i="12"/>
  <c r="I1311" i="12"/>
  <c r="H1311" i="12"/>
  <c r="I1310" i="12"/>
  <c r="H1310" i="12"/>
  <c r="I1309" i="12"/>
  <c r="H1309" i="12"/>
  <c r="I1308" i="12"/>
  <c r="H1308" i="12"/>
  <c r="I1307" i="12"/>
  <c r="H1307" i="12"/>
  <c r="I1306" i="12"/>
  <c r="H1306" i="12"/>
  <c r="I1305" i="12"/>
  <c r="H1305" i="12"/>
  <c r="I1304" i="12"/>
  <c r="H1304" i="12"/>
  <c r="I1303" i="12"/>
  <c r="H1303" i="12"/>
  <c r="I1302" i="12"/>
  <c r="H1302" i="12"/>
  <c r="I1301" i="12"/>
  <c r="H1301" i="12"/>
  <c r="I1300" i="12"/>
  <c r="H1300" i="12"/>
  <c r="I1299" i="12"/>
  <c r="H1299" i="12"/>
  <c r="I1298" i="12"/>
  <c r="H1298" i="12"/>
  <c r="I1297" i="12"/>
  <c r="H1297" i="12"/>
  <c r="I1296" i="12"/>
  <c r="H1296" i="12"/>
  <c r="I1295" i="12"/>
  <c r="H1295" i="12"/>
  <c r="I1294" i="12"/>
  <c r="H1294" i="12"/>
  <c r="I1293" i="12"/>
  <c r="H1293" i="12"/>
  <c r="I1292" i="12"/>
  <c r="H1292" i="12"/>
  <c r="I1291" i="12"/>
  <c r="H1291" i="12"/>
  <c r="I1290" i="12"/>
  <c r="H1290" i="12"/>
  <c r="I1289" i="12"/>
  <c r="H1289" i="12"/>
  <c r="I1288" i="12"/>
  <c r="H1288" i="12"/>
  <c r="I1287" i="12"/>
  <c r="H1287" i="12"/>
  <c r="I1286" i="12"/>
  <c r="H1286" i="12"/>
  <c r="I1285" i="12"/>
  <c r="H1285" i="12"/>
  <c r="I1284" i="12"/>
  <c r="H1284" i="12"/>
  <c r="I1283" i="12"/>
  <c r="H1283" i="12"/>
  <c r="I1282" i="12"/>
  <c r="H1282" i="12"/>
  <c r="I1281" i="12"/>
  <c r="H1281" i="12"/>
  <c r="I1280" i="12"/>
  <c r="H1280" i="12"/>
  <c r="I1279" i="12"/>
  <c r="H1279" i="12"/>
  <c r="I1278" i="12"/>
  <c r="H1278" i="12"/>
  <c r="I1277" i="12"/>
  <c r="H1277" i="12"/>
  <c r="I1276" i="12"/>
  <c r="H1276" i="12"/>
  <c r="I1275" i="12"/>
  <c r="H1275" i="12"/>
  <c r="I1274" i="12"/>
  <c r="H1274" i="12"/>
  <c r="I1273" i="12"/>
  <c r="H1273" i="12"/>
  <c r="I1272" i="12"/>
  <c r="H1272" i="12"/>
  <c r="I1271" i="12"/>
  <c r="H1271" i="12"/>
  <c r="I1270" i="12"/>
  <c r="H1270" i="12"/>
  <c r="I1269" i="12"/>
  <c r="H1269" i="12"/>
  <c r="I1268" i="12"/>
  <c r="H1268" i="12"/>
  <c r="I1267" i="12"/>
  <c r="H1267" i="12"/>
  <c r="I1266" i="12"/>
  <c r="H1266" i="12"/>
  <c r="I1265" i="12"/>
  <c r="H1265" i="12"/>
  <c r="I1264" i="12"/>
  <c r="H1264" i="12"/>
  <c r="I1263" i="12"/>
  <c r="H1263" i="12"/>
  <c r="I1262" i="12"/>
  <c r="H1262" i="12"/>
  <c r="I1261" i="12"/>
  <c r="H1261" i="12"/>
  <c r="I1260" i="12"/>
  <c r="H1260" i="12"/>
  <c r="I1259" i="12"/>
  <c r="H1259" i="12"/>
  <c r="I1258" i="12"/>
  <c r="H1258" i="12"/>
  <c r="I1257" i="12"/>
  <c r="H1257" i="12"/>
  <c r="I1256" i="12"/>
  <c r="H1256" i="12"/>
  <c r="I1255" i="12"/>
  <c r="H1255" i="12"/>
  <c r="I1254" i="12"/>
  <c r="H1254" i="12"/>
  <c r="I1253" i="12"/>
  <c r="H1253" i="12"/>
  <c r="I1252" i="12"/>
  <c r="H1252" i="12"/>
  <c r="I1251" i="12"/>
  <c r="H1251" i="12"/>
  <c r="I1250" i="12"/>
  <c r="H1250" i="12"/>
  <c r="I1249" i="12"/>
  <c r="H1249" i="12"/>
  <c r="I1248" i="12"/>
  <c r="H1248" i="12"/>
  <c r="I1247" i="12"/>
  <c r="H1247" i="12"/>
  <c r="I1246" i="12"/>
  <c r="H1246" i="12"/>
  <c r="I1245" i="12"/>
  <c r="H1245" i="12"/>
  <c r="I1244" i="12"/>
  <c r="H1244" i="12"/>
  <c r="I1243" i="12"/>
  <c r="H1243" i="12"/>
  <c r="I1242" i="12"/>
  <c r="H1242" i="12"/>
  <c r="I1241" i="12"/>
  <c r="H1241" i="12"/>
  <c r="I1240" i="12"/>
  <c r="H1240" i="12"/>
  <c r="I1239" i="12"/>
  <c r="H1239" i="12"/>
  <c r="I1238" i="12"/>
  <c r="H1238" i="12"/>
  <c r="I1237" i="12"/>
  <c r="H1237" i="12"/>
  <c r="I1236" i="12"/>
  <c r="H1236" i="12"/>
  <c r="I1235" i="12"/>
  <c r="H1235" i="12"/>
  <c r="I1234" i="12"/>
  <c r="H1234" i="12"/>
  <c r="I1233" i="12"/>
  <c r="H1233" i="12"/>
  <c r="I1232" i="12"/>
  <c r="H1232" i="12"/>
  <c r="I1231" i="12"/>
  <c r="H1231" i="12"/>
  <c r="I1230" i="12"/>
  <c r="H1230" i="12"/>
  <c r="I1229" i="12"/>
  <c r="H1229" i="12"/>
  <c r="I1228" i="12"/>
  <c r="H1228" i="12"/>
  <c r="I1227" i="12"/>
  <c r="H1227" i="12"/>
  <c r="I1226" i="12"/>
  <c r="H1226" i="12"/>
  <c r="I1225" i="12"/>
  <c r="H1225" i="12"/>
  <c r="I1224" i="12"/>
  <c r="H1224" i="12"/>
  <c r="I1223" i="12"/>
  <c r="H1223" i="12"/>
  <c r="I1222" i="12"/>
  <c r="H1222" i="12"/>
  <c r="I1221" i="12"/>
  <c r="H1221" i="12"/>
  <c r="I1220" i="12"/>
  <c r="H1220" i="12"/>
  <c r="I1219" i="12"/>
  <c r="H1219" i="12"/>
  <c r="I1218" i="12"/>
  <c r="H1218" i="12"/>
  <c r="I1217" i="12"/>
  <c r="H1217" i="12"/>
  <c r="I1216" i="12"/>
  <c r="H1216" i="12"/>
  <c r="I1215" i="12"/>
  <c r="H1215" i="12"/>
  <c r="I1214" i="12"/>
  <c r="H1214" i="12"/>
  <c r="I1213" i="12"/>
  <c r="H1213" i="12"/>
  <c r="I1212" i="12"/>
  <c r="H1212" i="12"/>
  <c r="I1211" i="12"/>
  <c r="H1211" i="12"/>
  <c r="I1210" i="12"/>
  <c r="H1210" i="12"/>
  <c r="I1209" i="12"/>
  <c r="H1209" i="12"/>
  <c r="I1208" i="12"/>
  <c r="H1208" i="12"/>
  <c r="I1207" i="12"/>
  <c r="H1207" i="12"/>
  <c r="I1206" i="12"/>
  <c r="H1206" i="12"/>
  <c r="I1205" i="12"/>
  <c r="H1205" i="12"/>
  <c r="I1204" i="12"/>
  <c r="H1204" i="12"/>
  <c r="I1203" i="12"/>
  <c r="H1203" i="12"/>
  <c r="I1202" i="12"/>
  <c r="H1202" i="12"/>
  <c r="I1201" i="12"/>
  <c r="H1201" i="12"/>
  <c r="I1200" i="12"/>
  <c r="H1200" i="12"/>
  <c r="I1199" i="12"/>
  <c r="H1199" i="12"/>
  <c r="I1198" i="12"/>
  <c r="H1198" i="12"/>
  <c r="I1197" i="12"/>
  <c r="H1197" i="12"/>
  <c r="I1196" i="12"/>
  <c r="H1196" i="12"/>
  <c r="I1195" i="12"/>
  <c r="H1195" i="12"/>
  <c r="I1194" i="12"/>
  <c r="H1194" i="12"/>
  <c r="I1193" i="12"/>
  <c r="H1193" i="12"/>
  <c r="I1192" i="12"/>
  <c r="H1192" i="12"/>
  <c r="I1191" i="12"/>
  <c r="H1191" i="12"/>
  <c r="I1190" i="12"/>
  <c r="H1190" i="12"/>
  <c r="I1189" i="12"/>
  <c r="H1189" i="12"/>
  <c r="I1188" i="12"/>
  <c r="H1188" i="12"/>
  <c r="I1187" i="12"/>
  <c r="H1187" i="12"/>
  <c r="I1186" i="12"/>
  <c r="H1186" i="12"/>
  <c r="I1185" i="12"/>
  <c r="H1185" i="12"/>
  <c r="I1184" i="12"/>
  <c r="H1184" i="12"/>
  <c r="I1183" i="12"/>
  <c r="H1183" i="12"/>
  <c r="I1182" i="12"/>
  <c r="H1182" i="12"/>
  <c r="I1181" i="12"/>
  <c r="H1181" i="12"/>
  <c r="I1180" i="12"/>
  <c r="H1180" i="12"/>
  <c r="I1179" i="12"/>
  <c r="H1179" i="12"/>
  <c r="I1178" i="12"/>
  <c r="H1178" i="12"/>
  <c r="I1177" i="12"/>
  <c r="H1177" i="12"/>
  <c r="I1176" i="12"/>
  <c r="H1176" i="12"/>
  <c r="I1175" i="12"/>
  <c r="H1175" i="12"/>
  <c r="I1174" i="12"/>
  <c r="H1174" i="12"/>
  <c r="I1173" i="12"/>
  <c r="H1173" i="12"/>
  <c r="I1172" i="12"/>
  <c r="H1172" i="12"/>
  <c r="I1171" i="12"/>
  <c r="H1171" i="12"/>
  <c r="I1170" i="12"/>
  <c r="H1170" i="12"/>
  <c r="I1169" i="12"/>
  <c r="H1169" i="12"/>
  <c r="I1168" i="12"/>
  <c r="H1168" i="12"/>
  <c r="I1167" i="12"/>
  <c r="H1167" i="12"/>
  <c r="I1166" i="12"/>
  <c r="H1166" i="12"/>
  <c r="I1165" i="12"/>
  <c r="H1165" i="12"/>
  <c r="I1164" i="12"/>
  <c r="H1164" i="12"/>
  <c r="I1163" i="12"/>
  <c r="H1163" i="12"/>
  <c r="I1162" i="12"/>
  <c r="H1162" i="12"/>
  <c r="I1161" i="12"/>
  <c r="H1161" i="12"/>
  <c r="I1160" i="12"/>
  <c r="H1160" i="12"/>
  <c r="I1159" i="12"/>
  <c r="H1159" i="12"/>
  <c r="I1158" i="12"/>
  <c r="H1158" i="12"/>
  <c r="I1157" i="12"/>
  <c r="H1157" i="12"/>
  <c r="I1156" i="12"/>
  <c r="H1156" i="12"/>
  <c r="I1155" i="12"/>
  <c r="H1155" i="12"/>
  <c r="I1154" i="12"/>
  <c r="H1154" i="12"/>
  <c r="I1153" i="12"/>
  <c r="H1153" i="12"/>
  <c r="I1152" i="12"/>
  <c r="H1152" i="12"/>
  <c r="I1151" i="12"/>
  <c r="H1151" i="12"/>
  <c r="I1150" i="12"/>
  <c r="H1150" i="12"/>
  <c r="I1149" i="12"/>
  <c r="H1149" i="12"/>
  <c r="I1148" i="12"/>
  <c r="H1148" i="12"/>
  <c r="I1147" i="12"/>
  <c r="H1147" i="12"/>
  <c r="I1146" i="12"/>
  <c r="H1146" i="12"/>
  <c r="I1145" i="12"/>
  <c r="H1145" i="12"/>
  <c r="I1144" i="12"/>
  <c r="H1144" i="12"/>
  <c r="I1143" i="12"/>
  <c r="H1143" i="12"/>
  <c r="I1142" i="12"/>
  <c r="H1142" i="12"/>
  <c r="I1141" i="12"/>
  <c r="H1141" i="12"/>
  <c r="I1140" i="12"/>
  <c r="H1140" i="12"/>
  <c r="I1139" i="12"/>
  <c r="H1139" i="12"/>
  <c r="I1138" i="12"/>
  <c r="H1138" i="12"/>
  <c r="I1137" i="12"/>
  <c r="H1137" i="12"/>
  <c r="I1136" i="12"/>
  <c r="H1136" i="12"/>
  <c r="I1135" i="12"/>
  <c r="H1135" i="12"/>
  <c r="I1134" i="12"/>
  <c r="H1134" i="12"/>
  <c r="I1133" i="12"/>
  <c r="H1133" i="12"/>
  <c r="I1132" i="12"/>
  <c r="H1132" i="12"/>
  <c r="I1131" i="12"/>
  <c r="H1131" i="12"/>
  <c r="I1130" i="12"/>
  <c r="H1130" i="12"/>
  <c r="I1129" i="12"/>
  <c r="H1129" i="12"/>
  <c r="I1128" i="12"/>
  <c r="H1128" i="12"/>
  <c r="I1127" i="12"/>
  <c r="H1127" i="12"/>
  <c r="I1126" i="12"/>
  <c r="H1126" i="12"/>
  <c r="I1125" i="12"/>
  <c r="H1125" i="12"/>
  <c r="I1124" i="12"/>
  <c r="H1124" i="12"/>
  <c r="I1123" i="12"/>
  <c r="H1123" i="12"/>
  <c r="I1122" i="12"/>
  <c r="H1122" i="12"/>
  <c r="I1121" i="12"/>
  <c r="H1121" i="12"/>
  <c r="I1120" i="12"/>
  <c r="H1120" i="12"/>
  <c r="I1119" i="12"/>
  <c r="H1119" i="12"/>
  <c r="I1118" i="12"/>
  <c r="H1118" i="12"/>
  <c r="I1117" i="12"/>
  <c r="H1117" i="12"/>
  <c r="I1116" i="12"/>
  <c r="H1116" i="12"/>
  <c r="I1115" i="12"/>
  <c r="H1115" i="12"/>
  <c r="I1114" i="12"/>
  <c r="H1114" i="12"/>
  <c r="I1113" i="12"/>
  <c r="H1113" i="12"/>
  <c r="I1112" i="12"/>
  <c r="H1112" i="12"/>
  <c r="I1111" i="12"/>
  <c r="H1111" i="12"/>
  <c r="I1110" i="12"/>
  <c r="H1110" i="12"/>
  <c r="I1109" i="12"/>
  <c r="H1109" i="12"/>
  <c r="I1108" i="12"/>
  <c r="H1108" i="12"/>
  <c r="I1107" i="12"/>
  <c r="H1107" i="12"/>
  <c r="I1106" i="12"/>
  <c r="H1106" i="12"/>
  <c r="I1105" i="12"/>
  <c r="H1105" i="12"/>
  <c r="I1104" i="12"/>
  <c r="H1104" i="12"/>
  <c r="I1103" i="12"/>
  <c r="H1103" i="12"/>
  <c r="I1102" i="12"/>
  <c r="H1102" i="12"/>
  <c r="I1101" i="12"/>
  <c r="H1101" i="12"/>
  <c r="I1100" i="12"/>
  <c r="H1100" i="12"/>
  <c r="I1099" i="12"/>
  <c r="H1099" i="12"/>
  <c r="I1098" i="12"/>
  <c r="H1098" i="12"/>
  <c r="I1097" i="12"/>
  <c r="H1097" i="12"/>
  <c r="I1096" i="12"/>
  <c r="H1096" i="12"/>
  <c r="I1095" i="12"/>
  <c r="H1095" i="12"/>
  <c r="I1094" i="12"/>
  <c r="H1094" i="12"/>
  <c r="I1093" i="12"/>
  <c r="H1093" i="12"/>
  <c r="I1092" i="12"/>
  <c r="H1092" i="12"/>
  <c r="I1091" i="12"/>
  <c r="H1091" i="12"/>
  <c r="I1090" i="12"/>
  <c r="H1090" i="12"/>
  <c r="I1089" i="12"/>
  <c r="H1089" i="12"/>
  <c r="I1088" i="12"/>
  <c r="H1088" i="12"/>
  <c r="I1087" i="12"/>
  <c r="H1087" i="12"/>
  <c r="I1086" i="12"/>
  <c r="H1086" i="12"/>
  <c r="I1085" i="12"/>
  <c r="H1085" i="12"/>
  <c r="I1084" i="12"/>
  <c r="H1084" i="12"/>
  <c r="I1083" i="12"/>
  <c r="H1083" i="12"/>
  <c r="I1082" i="12"/>
  <c r="H1082" i="12"/>
  <c r="I1081" i="12"/>
  <c r="H1081" i="12"/>
  <c r="I1080" i="12"/>
  <c r="H1080" i="12"/>
  <c r="I1079" i="12"/>
  <c r="H1079" i="12"/>
  <c r="I1078" i="12"/>
  <c r="H1078" i="12"/>
  <c r="I1077" i="12"/>
  <c r="H1077" i="12"/>
  <c r="I1076" i="12"/>
  <c r="H1076" i="12"/>
  <c r="I1075" i="12"/>
  <c r="H1075" i="12"/>
  <c r="I1074" i="12"/>
  <c r="H1074" i="12"/>
  <c r="I1073" i="12"/>
  <c r="H1073" i="12"/>
  <c r="I1072" i="12"/>
  <c r="H1072" i="12"/>
  <c r="I1071" i="12"/>
  <c r="H1071" i="12"/>
  <c r="I1070" i="12"/>
  <c r="H1070" i="12"/>
  <c r="I1069" i="12"/>
  <c r="H1069" i="12"/>
  <c r="I1068" i="12"/>
  <c r="H1068" i="12"/>
  <c r="I1067" i="12"/>
  <c r="H1067" i="12"/>
  <c r="I1066" i="12"/>
  <c r="H1066" i="12"/>
  <c r="I1065" i="12"/>
  <c r="H1065" i="12"/>
  <c r="I1064" i="12"/>
  <c r="H1064" i="12"/>
  <c r="I1063" i="12"/>
  <c r="H1063" i="12"/>
  <c r="I1062" i="12"/>
  <c r="H1062" i="12"/>
  <c r="I1061" i="12"/>
  <c r="H1061" i="12"/>
  <c r="I1060" i="12"/>
  <c r="H1060" i="12"/>
  <c r="I1059" i="12"/>
  <c r="H1059" i="12"/>
  <c r="I1058" i="12"/>
  <c r="H1058" i="12"/>
  <c r="I1057" i="12"/>
  <c r="H1057" i="12"/>
  <c r="I1056" i="12"/>
  <c r="H1056" i="12"/>
  <c r="I1055" i="12"/>
  <c r="H1055" i="12"/>
  <c r="I1054" i="12"/>
  <c r="H1054" i="12"/>
  <c r="I1053" i="12"/>
  <c r="H1053" i="12"/>
  <c r="I1052" i="12"/>
  <c r="H1052" i="12"/>
  <c r="I1051" i="12"/>
  <c r="H1051" i="12"/>
  <c r="I1050" i="12"/>
  <c r="H1050" i="12"/>
  <c r="I1049" i="12"/>
  <c r="H1049" i="12"/>
  <c r="I1048" i="12"/>
  <c r="H1048" i="12"/>
  <c r="I1047" i="12"/>
  <c r="H1047" i="12"/>
  <c r="I1046" i="12"/>
  <c r="H1046" i="12"/>
  <c r="I1045" i="12"/>
  <c r="H1045" i="12"/>
  <c r="I1044" i="12"/>
  <c r="H1044" i="12"/>
  <c r="I1043" i="12"/>
  <c r="H1043" i="12"/>
  <c r="I1042" i="12"/>
  <c r="H1042" i="12"/>
  <c r="I1041" i="12"/>
  <c r="H1041" i="12"/>
  <c r="I1040" i="12"/>
  <c r="H1040" i="12"/>
  <c r="I1039" i="12"/>
  <c r="H1039" i="12"/>
  <c r="I1038" i="12"/>
  <c r="H1038" i="12"/>
  <c r="I1037" i="12"/>
  <c r="H1037" i="12"/>
  <c r="I1036" i="12"/>
  <c r="H1036" i="12"/>
  <c r="I1035" i="12"/>
  <c r="H1035" i="12"/>
  <c r="I1034" i="12"/>
  <c r="H1034" i="12"/>
  <c r="I1033" i="12"/>
  <c r="H1033" i="12"/>
  <c r="I1032" i="12"/>
  <c r="H1032" i="12"/>
  <c r="I1031" i="12"/>
  <c r="H1031" i="12"/>
  <c r="I1030" i="12"/>
  <c r="H1030" i="12"/>
  <c r="I1029" i="12"/>
  <c r="H1029" i="12"/>
  <c r="I1028" i="12"/>
  <c r="H1028" i="12"/>
  <c r="I1027" i="12"/>
  <c r="H1027" i="12"/>
  <c r="I1026" i="12"/>
  <c r="H1026" i="12"/>
  <c r="I1025" i="12"/>
  <c r="H1025" i="12"/>
  <c r="I1024" i="12"/>
  <c r="H1024" i="12"/>
  <c r="I1023" i="12"/>
  <c r="H1023" i="12"/>
  <c r="I1022" i="12"/>
  <c r="H1022" i="12"/>
  <c r="I1021" i="12"/>
  <c r="H1021" i="12"/>
  <c r="I1020" i="12"/>
  <c r="H1020" i="12"/>
  <c r="I1019" i="12"/>
  <c r="H1019" i="12"/>
  <c r="I1018" i="12"/>
  <c r="H1018" i="12"/>
  <c r="I1017" i="12"/>
  <c r="H1017" i="12"/>
  <c r="I1016" i="12"/>
  <c r="H1016" i="12"/>
  <c r="I1015" i="12"/>
  <c r="H1015" i="12"/>
  <c r="I1014" i="12"/>
  <c r="H1014" i="12"/>
  <c r="I1013" i="12"/>
  <c r="H1013" i="12"/>
  <c r="I1012" i="12"/>
  <c r="H1012" i="12"/>
  <c r="I1011" i="12"/>
  <c r="H1011" i="12"/>
  <c r="I1010" i="12"/>
  <c r="H1010" i="12"/>
  <c r="I1009" i="12"/>
  <c r="H1009" i="12"/>
  <c r="I1008" i="12"/>
  <c r="H1008" i="12"/>
  <c r="I1007" i="12"/>
  <c r="H1007" i="12"/>
  <c r="I1006" i="12"/>
  <c r="H1006" i="12"/>
  <c r="I1005" i="12"/>
  <c r="H1005" i="12"/>
  <c r="I1004" i="12"/>
  <c r="H1004" i="12"/>
  <c r="I1003" i="12"/>
  <c r="H1003" i="12"/>
  <c r="I1002" i="12"/>
  <c r="H1002" i="12"/>
  <c r="I1001" i="12"/>
  <c r="H1001" i="12"/>
  <c r="I1000" i="12"/>
  <c r="H1000" i="12"/>
  <c r="I999" i="12"/>
  <c r="H999" i="12"/>
  <c r="I998" i="12"/>
  <c r="H998" i="12"/>
  <c r="I997" i="12"/>
  <c r="H997" i="12"/>
  <c r="I996" i="12"/>
  <c r="H996" i="12"/>
  <c r="I995" i="12"/>
  <c r="H995" i="12"/>
  <c r="I994" i="12"/>
  <c r="H994" i="12"/>
  <c r="I993" i="12"/>
  <c r="H993" i="12"/>
  <c r="I992" i="12"/>
  <c r="H992" i="12"/>
  <c r="I991" i="12"/>
  <c r="H991" i="12"/>
  <c r="I990" i="12"/>
  <c r="H990" i="12"/>
  <c r="I989" i="12"/>
  <c r="H989" i="12"/>
  <c r="I988" i="12"/>
  <c r="H988" i="12"/>
  <c r="I987" i="12"/>
  <c r="H987" i="12"/>
  <c r="I986" i="12"/>
  <c r="H986" i="12"/>
  <c r="I985" i="12"/>
  <c r="H985" i="12"/>
  <c r="I984" i="12"/>
  <c r="H984" i="12"/>
  <c r="I983" i="12"/>
  <c r="H983" i="12"/>
  <c r="I982" i="12"/>
  <c r="H982" i="12"/>
  <c r="I981" i="12"/>
  <c r="H981" i="12"/>
  <c r="I980" i="12"/>
  <c r="H980" i="12"/>
  <c r="I979" i="12"/>
  <c r="H979" i="12"/>
  <c r="I978" i="12"/>
  <c r="H978" i="12"/>
  <c r="I977" i="12"/>
  <c r="H977" i="12"/>
  <c r="I976" i="12"/>
  <c r="H976" i="12"/>
  <c r="I975" i="12"/>
  <c r="H975" i="12"/>
  <c r="I974" i="12"/>
  <c r="H974" i="12"/>
  <c r="I973" i="12"/>
  <c r="H973" i="12"/>
  <c r="I972" i="12"/>
  <c r="H972" i="12"/>
  <c r="I971" i="12"/>
  <c r="H971" i="12"/>
  <c r="I970" i="12"/>
  <c r="H970" i="12"/>
  <c r="I969" i="12"/>
  <c r="H969" i="12"/>
  <c r="I968" i="12"/>
  <c r="H968" i="12"/>
  <c r="I967" i="12"/>
  <c r="H967" i="12"/>
  <c r="I966" i="12"/>
  <c r="H966" i="12"/>
  <c r="I965" i="12"/>
  <c r="H965" i="12"/>
  <c r="I964" i="12"/>
  <c r="H964" i="12"/>
  <c r="I963" i="12"/>
  <c r="H963" i="12"/>
  <c r="I962" i="12"/>
  <c r="H962" i="12"/>
  <c r="I961" i="12"/>
  <c r="H961" i="12"/>
  <c r="I960" i="12"/>
  <c r="H960" i="12"/>
  <c r="I959" i="12"/>
  <c r="H959" i="12"/>
  <c r="I958" i="12"/>
  <c r="H958" i="12"/>
  <c r="I957" i="12"/>
  <c r="H957" i="12"/>
  <c r="I956" i="12"/>
  <c r="H956" i="12"/>
  <c r="I955" i="12"/>
  <c r="H955" i="12"/>
  <c r="I954" i="12"/>
  <c r="H954" i="12"/>
  <c r="I953" i="12"/>
  <c r="H953" i="12"/>
  <c r="I952" i="12"/>
  <c r="H952" i="12"/>
  <c r="I951" i="12"/>
  <c r="H951" i="12"/>
  <c r="I950" i="12"/>
  <c r="H950" i="12"/>
  <c r="I949" i="12"/>
  <c r="H949" i="12"/>
  <c r="I948" i="12"/>
  <c r="H948" i="12"/>
  <c r="I947" i="12"/>
  <c r="H947" i="12"/>
  <c r="I946" i="12"/>
  <c r="H946" i="12"/>
  <c r="I945" i="12"/>
  <c r="H945" i="12"/>
  <c r="I944" i="12"/>
  <c r="H944" i="12"/>
  <c r="I943" i="12"/>
  <c r="H943" i="12"/>
  <c r="I942" i="12"/>
  <c r="H942" i="12"/>
  <c r="I941" i="12"/>
  <c r="H941" i="12"/>
  <c r="I940" i="12"/>
  <c r="H940" i="12"/>
  <c r="I939" i="12"/>
  <c r="H939" i="12"/>
  <c r="I938" i="12"/>
  <c r="H938" i="12"/>
  <c r="I937" i="12"/>
  <c r="H937" i="12"/>
  <c r="I936" i="12"/>
  <c r="H936" i="12"/>
  <c r="I935" i="12"/>
  <c r="H935" i="12"/>
  <c r="I934" i="12"/>
  <c r="H934" i="12"/>
  <c r="I933" i="12"/>
  <c r="H933" i="12"/>
  <c r="I932" i="12"/>
  <c r="H932" i="12"/>
  <c r="I931" i="12"/>
  <c r="H931" i="12"/>
  <c r="I930" i="12"/>
  <c r="H930" i="12"/>
  <c r="I929" i="12"/>
  <c r="H929" i="12"/>
  <c r="I928" i="12"/>
  <c r="H928" i="12"/>
  <c r="I927" i="12"/>
  <c r="H927" i="12"/>
  <c r="I926" i="12"/>
  <c r="H926" i="12"/>
  <c r="I925" i="12"/>
  <c r="H925" i="12"/>
  <c r="I924" i="12"/>
  <c r="H924" i="12"/>
  <c r="I923" i="12"/>
  <c r="H923" i="12"/>
  <c r="I922" i="12"/>
  <c r="H922" i="12"/>
  <c r="I921" i="12"/>
  <c r="H921" i="12"/>
  <c r="I920" i="12"/>
  <c r="H920" i="12"/>
  <c r="I919" i="12"/>
  <c r="H919" i="12"/>
  <c r="I918" i="12"/>
  <c r="H918" i="12"/>
  <c r="I917" i="12"/>
  <c r="H917" i="12"/>
  <c r="I916" i="12"/>
  <c r="H916" i="12"/>
  <c r="I915" i="12"/>
  <c r="H915" i="12"/>
  <c r="I914" i="12"/>
  <c r="H914" i="12"/>
  <c r="I913" i="12"/>
  <c r="H913" i="12"/>
  <c r="I912" i="12"/>
  <c r="H912" i="12"/>
  <c r="I911" i="12"/>
  <c r="H911" i="12"/>
  <c r="I910" i="12"/>
  <c r="H910" i="12"/>
  <c r="I909" i="12"/>
  <c r="H909" i="12"/>
  <c r="I908" i="12"/>
  <c r="H908" i="12"/>
  <c r="I907" i="12"/>
  <c r="H907" i="12"/>
  <c r="I906" i="12"/>
  <c r="H906" i="12"/>
  <c r="I905" i="12"/>
  <c r="H905" i="12"/>
  <c r="I904" i="12"/>
  <c r="H904" i="12"/>
  <c r="I903" i="12"/>
  <c r="H903" i="12"/>
  <c r="I902" i="12"/>
  <c r="H902" i="12"/>
  <c r="I901" i="12"/>
  <c r="H901" i="12"/>
  <c r="I900" i="12"/>
  <c r="H900" i="12"/>
  <c r="I899" i="12"/>
  <c r="H899" i="12"/>
  <c r="I898" i="12"/>
  <c r="H898" i="12"/>
  <c r="I897" i="12"/>
  <c r="H897" i="12"/>
  <c r="I896" i="12"/>
  <c r="H896" i="12"/>
  <c r="I895" i="12"/>
  <c r="H895" i="12"/>
  <c r="I894" i="12"/>
  <c r="H894" i="12"/>
  <c r="I893" i="12"/>
  <c r="H893" i="12"/>
  <c r="I892" i="12"/>
  <c r="H892" i="12"/>
  <c r="I891" i="12"/>
  <c r="H891" i="12"/>
  <c r="I890" i="12"/>
  <c r="H890" i="12"/>
  <c r="I889" i="12"/>
  <c r="H889" i="12"/>
  <c r="I888" i="12"/>
  <c r="H888" i="12"/>
  <c r="I887" i="12"/>
  <c r="H887" i="12"/>
  <c r="I886" i="12"/>
  <c r="H886" i="12"/>
  <c r="I885" i="12"/>
  <c r="H885" i="12"/>
  <c r="I884" i="12"/>
  <c r="H884" i="12"/>
  <c r="I883" i="12"/>
  <c r="H883" i="12"/>
  <c r="I882" i="12"/>
  <c r="H882" i="12"/>
  <c r="I881" i="12"/>
  <c r="H881" i="12"/>
  <c r="I880" i="12"/>
  <c r="H880" i="12"/>
  <c r="I879" i="12"/>
  <c r="H879" i="12"/>
  <c r="I878" i="12"/>
  <c r="H878" i="12"/>
  <c r="I877" i="12"/>
  <c r="H877" i="12"/>
  <c r="I876" i="12"/>
  <c r="H876" i="12"/>
  <c r="I875" i="12"/>
  <c r="H875" i="12"/>
  <c r="I874" i="12"/>
  <c r="H874" i="12"/>
  <c r="I873" i="12"/>
  <c r="H873" i="12"/>
  <c r="I872" i="12"/>
  <c r="H872" i="12"/>
  <c r="I871" i="12"/>
  <c r="H871" i="12"/>
  <c r="I870" i="12"/>
  <c r="H870" i="12"/>
  <c r="I869" i="12"/>
  <c r="H869" i="12"/>
  <c r="I868" i="12"/>
  <c r="H868" i="12"/>
  <c r="I867" i="12"/>
  <c r="H867" i="12"/>
  <c r="I866" i="12"/>
  <c r="H866" i="12"/>
  <c r="I865" i="12"/>
  <c r="H865" i="12"/>
  <c r="I864" i="12"/>
  <c r="H864" i="12"/>
  <c r="I863" i="12"/>
  <c r="H863" i="12"/>
  <c r="I862" i="12"/>
  <c r="H862" i="12"/>
  <c r="I861" i="12"/>
  <c r="H861" i="12"/>
  <c r="I860" i="12"/>
  <c r="H860" i="12"/>
  <c r="I859" i="12"/>
  <c r="H859" i="12"/>
  <c r="I858" i="12"/>
  <c r="H858" i="12"/>
  <c r="I857" i="12"/>
  <c r="H857" i="12"/>
  <c r="I856" i="12"/>
  <c r="H856" i="12"/>
  <c r="I855" i="12"/>
  <c r="H855" i="12"/>
  <c r="I854" i="12"/>
  <c r="H854" i="12"/>
  <c r="I853" i="12"/>
  <c r="H853" i="12"/>
  <c r="I852" i="12"/>
  <c r="H852" i="12"/>
  <c r="I851" i="12"/>
  <c r="H851" i="12"/>
  <c r="I850" i="12"/>
  <c r="H850" i="12"/>
  <c r="I849" i="12"/>
  <c r="H849" i="12"/>
  <c r="I848" i="12"/>
  <c r="H848" i="12"/>
  <c r="I847" i="12"/>
  <c r="H847" i="12"/>
  <c r="I846" i="12"/>
  <c r="H846" i="12"/>
  <c r="I845" i="12"/>
  <c r="H845" i="12"/>
  <c r="I844" i="12"/>
  <c r="H844" i="12"/>
  <c r="I843" i="12"/>
  <c r="H843" i="12"/>
  <c r="I842" i="12"/>
  <c r="H842" i="12"/>
  <c r="I841" i="12"/>
  <c r="H841" i="12"/>
  <c r="I840" i="12"/>
  <c r="H840" i="12"/>
  <c r="I839" i="12"/>
  <c r="H839" i="12"/>
  <c r="I838" i="12"/>
  <c r="H838" i="12"/>
  <c r="I837" i="12"/>
  <c r="H837" i="12"/>
  <c r="I836" i="12"/>
  <c r="H836" i="12"/>
  <c r="I835" i="12"/>
  <c r="H835" i="12"/>
  <c r="I834" i="12"/>
  <c r="H834" i="12"/>
  <c r="I833" i="12"/>
  <c r="H833" i="12"/>
  <c r="I832" i="12"/>
  <c r="H832" i="12"/>
  <c r="I831" i="12"/>
  <c r="H831" i="12"/>
  <c r="I830" i="12"/>
  <c r="H830" i="12"/>
  <c r="I829" i="12"/>
  <c r="H829" i="12"/>
  <c r="I828" i="12"/>
  <c r="H828" i="12"/>
  <c r="I827" i="12"/>
  <c r="H827" i="12"/>
  <c r="I826" i="12"/>
  <c r="H826" i="12"/>
  <c r="I825" i="12"/>
  <c r="H825" i="12"/>
  <c r="I824" i="12"/>
  <c r="H824" i="12"/>
  <c r="I823" i="12"/>
  <c r="H823" i="12"/>
  <c r="I822" i="12"/>
  <c r="H822" i="12"/>
  <c r="I821" i="12"/>
  <c r="H821" i="12"/>
  <c r="I820" i="12"/>
  <c r="H820" i="12"/>
  <c r="I819" i="12"/>
  <c r="H819" i="12"/>
  <c r="I818" i="12"/>
  <c r="H818" i="12"/>
  <c r="I817" i="12"/>
  <c r="H817" i="12"/>
  <c r="I816" i="12"/>
  <c r="H816" i="12"/>
  <c r="I815" i="12"/>
  <c r="H815" i="12"/>
  <c r="I814" i="12"/>
  <c r="H814" i="12"/>
  <c r="I813" i="12"/>
  <c r="H813" i="12"/>
  <c r="I812" i="12"/>
  <c r="H812" i="12"/>
  <c r="I811" i="12"/>
  <c r="H811" i="12"/>
  <c r="I810" i="12"/>
  <c r="H810" i="12"/>
  <c r="I809" i="12"/>
  <c r="H809" i="12"/>
  <c r="I808" i="12"/>
  <c r="H808" i="12"/>
  <c r="I807" i="12"/>
  <c r="H807" i="12"/>
  <c r="I806" i="12"/>
  <c r="H806" i="12"/>
  <c r="I805" i="12"/>
  <c r="H805" i="12"/>
  <c r="I804" i="12"/>
  <c r="H804" i="12"/>
  <c r="I803" i="12"/>
  <c r="H803" i="12"/>
  <c r="I802" i="12"/>
  <c r="H802" i="12"/>
  <c r="I801" i="12"/>
  <c r="H801" i="12"/>
  <c r="I800" i="12"/>
  <c r="H800" i="12"/>
  <c r="I799" i="12"/>
  <c r="H799" i="12"/>
  <c r="I798" i="12"/>
  <c r="H798" i="12"/>
  <c r="I797" i="12"/>
  <c r="H797" i="12"/>
  <c r="I796" i="12"/>
  <c r="H796" i="12"/>
  <c r="I795" i="12"/>
  <c r="H795" i="12"/>
  <c r="I794" i="12"/>
  <c r="H794" i="12"/>
  <c r="I793" i="12"/>
  <c r="H793" i="12"/>
  <c r="I792" i="12"/>
  <c r="H792" i="12"/>
  <c r="I791" i="12"/>
  <c r="H791" i="12"/>
  <c r="I790" i="12"/>
  <c r="H790" i="12"/>
  <c r="I789" i="12"/>
  <c r="H789" i="12"/>
  <c r="I788" i="12"/>
  <c r="H788" i="12"/>
  <c r="I787" i="12"/>
  <c r="H787" i="12"/>
  <c r="I786" i="12"/>
  <c r="H786" i="12"/>
  <c r="I785" i="12"/>
  <c r="H785" i="12"/>
  <c r="I784" i="12"/>
  <c r="H784" i="12"/>
  <c r="I783" i="12"/>
  <c r="H783" i="12"/>
  <c r="I782" i="12"/>
  <c r="H782" i="12"/>
  <c r="I781" i="12"/>
  <c r="H781" i="12"/>
  <c r="I780" i="12"/>
  <c r="H780" i="12"/>
  <c r="I779" i="12"/>
  <c r="H779" i="12"/>
  <c r="I778" i="12"/>
  <c r="H778" i="12"/>
  <c r="I777" i="12"/>
  <c r="H777" i="12"/>
  <c r="I776" i="12"/>
  <c r="H776" i="12"/>
  <c r="I775" i="12"/>
  <c r="H775" i="12"/>
  <c r="I774" i="12"/>
  <c r="H774" i="12"/>
  <c r="I773" i="12"/>
  <c r="H773" i="12"/>
  <c r="I772" i="12"/>
  <c r="H772" i="12"/>
  <c r="I771" i="12"/>
  <c r="H771" i="12"/>
  <c r="I770" i="12"/>
  <c r="H770" i="12"/>
  <c r="I769" i="12"/>
  <c r="H769" i="12"/>
  <c r="I768" i="12"/>
  <c r="H768" i="12"/>
  <c r="I767" i="12"/>
  <c r="H767" i="12"/>
  <c r="I766" i="12"/>
  <c r="H766" i="12"/>
  <c r="I765" i="12"/>
  <c r="H765" i="12"/>
  <c r="I764" i="12"/>
  <c r="H764" i="12"/>
  <c r="I763" i="12"/>
  <c r="H763" i="12"/>
  <c r="I762" i="12"/>
  <c r="H762" i="12"/>
  <c r="I761" i="12"/>
  <c r="H761" i="12"/>
  <c r="I760" i="12"/>
  <c r="H760" i="12"/>
  <c r="I759" i="12"/>
  <c r="H759" i="12"/>
  <c r="I758" i="12"/>
  <c r="H758" i="12"/>
  <c r="I757" i="12"/>
  <c r="H757" i="12"/>
  <c r="I756" i="12"/>
  <c r="H756" i="12"/>
  <c r="I755" i="12"/>
  <c r="H755" i="12"/>
  <c r="I754" i="12"/>
  <c r="H754" i="12"/>
  <c r="I753" i="12"/>
  <c r="H753" i="12"/>
  <c r="I752" i="12"/>
  <c r="H752" i="12"/>
  <c r="I751" i="12"/>
  <c r="H751" i="12"/>
  <c r="I750" i="12"/>
  <c r="H750" i="12"/>
  <c r="I749" i="12"/>
  <c r="H749" i="12"/>
  <c r="I748" i="12"/>
  <c r="H748" i="12"/>
  <c r="I747" i="12"/>
  <c r="H747" i="12"/>
  <c r="I746" i="12"/>
  <c r="H746" i="12"/>
  <c r="I745" i="12"/>
  <c r="H745" i="12"/>
  <c r="I744" i="12"/>
  <c r="H744" i="12"/>
  <c r="I743" i="12"/>
  <c r="H743" i="12"/>
  <c r="I742" i="12"/>
  <c r="H742" i="12"/>
  <c r="I741" i="12"/>
  <c r="H741" i="12"/>
  <c r="I740" i="12"/>
  <c r="H740" i="12"/>
  <c r="I739" i="12"/>
  <c r="H739" i="12"/>
  <c r="I738" i="12"/>
  <c r="H738" i="12"/>
  <c r="I737" i="12"/>
  <c r="H737" i="12"/>
  <c r="I736" i="12"/>
  <c r="H736" i="12"/>
  <c r="I735" i="12"/>
  <c r="H735" i="12"/>
  <c r="I734" i="12"/>
  <c r="H734" i="12"/>
  <c r="I733" i="12"/>
  <c r="H733" i="12"/>
  <c r="I732" i="12"/>
  <c r="H732" i="12"/>
  <c r="I731" i="12"/>
  <c r="H731" i="12"/>
  <c r="I730" i="12"/>
  <c r="H730" i="12"/>
  <c r="I729" i="12"/>
  <c r="H729" i="12"/>
  <c r="I728" i="12"/>
  <c r="H728" i="12"/>
  <c r="I727" i="12"/>
  <c r="H727" i="12"/>
  <c r="I726" i="12"/>
  <c r="H726" i="12"/>
  <c r="I725" i="12"/>
  <c r="H725" i="12"/>
  <c r="I724" i="12"/>
  <c r="H724" i="12"/>
  <c r="I723" i="12"/>
  <c r="H723" i="12"/>
  <c r="I722" i="12"/>
  <c r="H722" i="12"/>
  <c r="I721" i="12"/>
  <c r="H721" i="12"/>
  <c r="I720" i="12"/>
  <c r="H720" i="12"/>
  <c r="I719" i="12"/>
  <c r="H719" i="12"/>
  <c r="I718" i="12"/>
  <c r="H718" i="12"/>
  <c r="I717" i="12"/>
  <c r="H717" i="12"/>
  <c r="I716" i="12"/>
  <c r="H716" i="12"/>
  <c r="I715" i="12"/>
  <c r="H715" i="12"/>
  <c r="I714" i="12"/>
  <c r="H714" i="12"/>
  <c r="I713" i="12"/>
  <c r="H713" i="12"/>
  <c r="I712" i="12"/>
  <c r="H712" i="12"/>
  <c r="I711" i="12"/>
  <c r="H711" i="12"/>
  <c r="I710" i="12"/>
  <c r="H710" i="12"/>
  <c r="I709" i="12"/>
  <c r="H709" i="12"/>
  <c r="I708" i="12"/>
  <c r="H708" i="12"/>
  <c r="I707" i="12"/>
  <c r="H707" i="12"/>
  <c r="I706" i="12"/>
  <c r="H706" i="12"/>
  <c r="I705" i="12"/>
  <c r="H705" i="12"/>
  <c r="I704" i="12"/>
  <c r="H704" i="12"/>
  <c r="I703" i="12"/>
  <c r="H703" i="12"/>
  <c r="I702" i="12"/>
  <c r="H702" i="12"/>
  <c r="I701" i="12"/>
  <c r="H701" i="12"/>
  <c r="I700" i="12"/>
  <c r="H700" i="12"/>
  <c r="I699" i="12"/>
  <c r="H699" i="12"/>
  <c r="I698" i="12"/>
  <c r="H698" i="12"/>
  <c r="I697" i="12"/>
  <c r="H697" i="12"/>
  <c r="I696" i="12"/>
  <c r="H696" i="12"/>
  <c r="I695" i="12"/>
  <c r="H695" i="12"/>
  <c r="I694" i="12"/>
  <c r="H694" i="12"/>
  <c r="I693" i="12"/>
  <c r="H693" i="12"/>
  <c r="I692" i="12"/>
  <c r="H692" i="12"/>
  <c r="I691" i="12"/>
  <c r="H691" i="12"/>
  <c r="I690" i="12"/>
  <c r="H690" i="12"/>
  <c r="I689" i="12"/>
  <c r="H689" i="12"/>
  <c r="I688" i="12"/>
  <c r="H688" i="12"/>
  <c r="I687" i="12"/>
  <c r="H687" i="12"/>
  <c r="I686" i="12"/>
  <c r="H686" i="12"/>
  <c r="I685" i="12"/>
  <c r="H685" i="12"/>
  <c r="I684" i="12"/>
  <c r="H684" i="12"/>
  <c r="I683" i="12"/>
  <c r="H683" i="12"/>
  <c r="I682" i="12"/>
  <c r="H682" i="12"/>
  <c r="I681" i="12"/>
  <c r="H681" i="12"/>
  <c r="I680" i="12"/>
  <c r="H680" i="12"/>
  <c r="I679" i="12"/>
  <c r="H679" i="12"/>
  <c r="I678" i="12"/>
  <c r="H678" i="12"/>
  <c r="I677" i="12"/>
  <c r="H677" i="12"/>
  <c r="I676" i="12"/>
  <c r="H676" i="12"/>
  <c r="I675" i="12"/>
  <c r="H675" i="12"/>
  <c r="I674" i="12"/>
  <c r="H674" i="12"/>
  <c r="I673" i="12"/>
  <c r="H673" i="12"/>
  <c r="I672" i="12"/>
  <c r="H672" i="12"/>
  <c r="I671" i="12"/>
  <c r="H671" i="12"/>
  <c r="I670" i="12"/>
  <c r="H670" i="12"/>
  <c r="I669" i="12"/>
  <c r="H669" i="12"/>
  <c r="I668" i="12"/>
  <c r="H668" i="12"/>
  <c r="I667" i="12"/>
  <c r="H667" i="12"/>
  <c r="I666" i="12"/>
  <c r="H666" i="12"/>
  <c r="I665" i="12"/>
  <c r="H665" i="12"/>
  <c r="I664" i="12"/>
  <c r="H664" i="12"/>
  <c r="I663" i="12"/>
  <c r="H663" i="12"/>
  <c r="I662" i="12"/>
  <c r="H662" i="12"/>
  <c r="I661" i="12"/>
  <c r="H661" i="12"/>
  <c r="I660" i="12"/>
  <c r="H660" i="12"/>
  <c r="I659" i="12"/>
  <c r="H659" i="12"/>
  <c r="I658" i="12"/>
  <c r="H658" i="12"/>
  <c r="I657" i="12"/>
  <c r="H657" i="12"/>
  <c r="I656" i="12"/>
  <c r="H656" i="12"/>
  <c r="I655" i="12"/>
  <c r="H655" i="12"/>
  <c r="I654" i="12"/>
  <c r="H654" i="12"/>
  <c r="I653" i="12"/>
  <c r="H653" i="12"/>
  <c r="I652" i="12"/>
  <c r="H652" i="12"/>
  <c r="I651" i="12"/>
  <c r="H651" i="12"/>
  <c r="I650" i="12"/>
  <c r="H650" i="12"/>
  <c r="I649" i="12"/>
  <c r="H649" i="12"/>
  <c r="I648" i="12"/>
  <c r="H648" i="12"/>
  <c r="I647" i="12"/>
  <c r="H647" i="12"/>
  <c r="I646" i="12"/>
  <c r="H646" i="12"/>
  <c r="I645" i="12"/>
  <c r="H645" i="12"/>
  <c r="I644" i="12"/>
  <c r="H644" i="12"/>
  <c r="I643" i="12"/>
  <c r="H643" i="12"/>
  <c r="I642" i="12"/>
  <c r="H642" i="12"/>
  <c r="I641" i="12"/>
  <c r="H641" i="12"/>
  <c r="I640" i="12"/>
  <c r="H640" i="12"/>
  <c r="I639" i="12"/>
  <c r="H639" i="12"/>
  <c r="I638" i="12"/>
  <c r="H638" i="12"/>
  <c r="I637" i="12"/>
  <c r="H637" i="12"/>
  <c r="I636" i="12"/>
  <c r="H636" i="12"/>
  <c r="I635" i="12"/>
  <c r="H635" i="12"/>
  <c r="I634" i="12"/>
  <c r="H634" i="12"/>
  <c r="I633" i="12"/>
  <c r="H633" i="12"/>
  <c r="I632" i="12"/>
  <c r="H632" i="12"/>
  <c r="I631" i="12"/>
  <c r="H631" i="12"/>
  <c r="I630" i="12"/>
  <c r="H630" i="12"/>
  <c r="I629" i="12"/>
  <c r="H629" i="12"/>
  <c r="I628" i="12"/>
  <c r="H628" i="12"/>
  <c r="I627" i="12"/>
  <c r="H627" i="12"/>
  <c r="I626" i="12"/>
  <c r="H626" i="12"/>
  <c r="I625" i="12"/>
  <c r="H625" i="12"/>
  <c r="I624" i="12"/>
  <c r="H624" i="12"/>
  <c r="I623" i="12"/>
  <c r="H623" i="12"/>
  <c r="I622" i="12"/>
  <c r="H622" i="12"/>
  <c r="I621" i="12"/>
  <c r="H621" i="12"/>
  <c r="I620" i="12"/>
  <c r="H620" i="12"/>
  <c r="I619" i="12"/>
  <c r="H619" i="12"/>
  <c r="I618" i="12"/>
  <c r="H618" i="12"/>
  <c r="I617" i="12"/>
  <c r="H617" i="12"/>
  <c r="I616" i="12"/>
  <c r="H616" i="12"/>
  <c r="I615" i="12"/>
  <c r="H615" i="12"/>
  <c r="I614" i="12"/>
  <c r="H614" i="12"/>
  <c r="I613" i="12"/>
  <c r="H613" i="12"/>
  <c r="I612" i="12"/>
  <c r="H612" i="12"/>
  <c r="I611" i="12"/>
  <c r="H611" i="12"/>
  <c r="I610" i="12"/>
  <c r="H610" i="12"/>
  <c r="I609" i="12"/>
  <c r="H609" i="12"/>
  <c r="I608" i="12"/>
  <c r="H608" i="12"/>
  <c r="I607" i="12"/>
  <c r="H607" i="12"/>
  <c r="I606" i="12"/>
  <c r="H606" i="12"/>
  <c r="I605" i="12"/>
  <c r="H605" i="12"/>
  <c r="I604" i="12"/>
  <c r="H604" i="12"/>
  <c r="I603" i="12"/>
  <c r="H603" i="12"/>
  <c r="I602" i="12"/>
  <c r="H602" i="12"/>
  <c r="I601" i="12"/>
  <c r="H601" i="12"/>
  <c r="I600" i="12"/>
  <c r="H600" i="12"/>
  <c r="I599" i="12"/>
  <c r="H599" i="12"/>
  <c r="I598" i="12"/>
  <c r="H598" i="12"/>
  <c r="I597" i="12"/>
  <c r="H597" i="12"/>
  <c r="I596" i="12"/>
  <c r="H596" i="12"/>
  <c r="I595" i="12"/>
  <c r="H595" i="12"/>
  <c r="I594" i="12"/>
  <c r="H594" i="12"/>
  <c r="I593" i="12"/>
  <c r="H593" i="12"/>
  <c r="I592" i="12"/>
  <c r="H592" i="12"/>
  <c r="I591" i="12"/>
  <c r="H591" i="12"/>
  <c r="I590" i="12"/>
  <c r="H590" i="12"/>
  <c r="I589" i="12"/>
  <c r="H589" i="12"/>
  <c r="I588" i="12"/>
  <c r="H588" i="12"/>
  <c r="I587" i="12"/>
  <c r="H587" i="12"/>
  <c r="I586" i="12"/>
  <c r="H586" i="12"/>
  <c r="I585" i="12"/>
  <c r="H585" i="12"/>
  <c r="I584" i="12"/>
  <c r="H584" i="12"/>
  <c r="I583" i="12"/>
  <c r="H583" i="12"/>
  <c r="I582" i="12"/>
  <c r="H582" i="12"/>
  <c r="I581" i="12"/>
  <c r="H581" i="12"/>
  <c r="I580" i="12"/>
  <c r="H580" i="12"/>
  <c r="I579" i="12"/>
  <c r="H579" i="12"/>
  <c r="I578" i="12"/>
  <c r="H578" i="12"/>
  <c r="I577" i="12"/>
  <c r="H577" i="12"/>
  <c r="I576" i="12"/>
  <c r="H576" i="12"/>
  <c r="I575" i="12"/>
  <c r="H575" i="12"/>
  <c r="I574" i="12"/>
  <c r="H574" i="12"/>
  <c r="I573" i="12"/>
  <c r="H573" i="12"/>
  <c r="I572" i="12"/>
  <c r="H572" i="12"/>
  <c r="I571" i="12"/>
  <c r="H571" i="12"/>
  <c r="I570" i="12"/>
  <c r="H570" i="12"/>
  <c r="I569" i="12"/>
  <c r="H569" i="12"/>
  <c r="I568" i="12"/>
  <c r="H568" i="12"/>
  <c r="I567" i="12"/>
  <c r="H567" i="12"/>
  <c r="I566" i="12"/>
  <c r="H566" i="12"/>
  <c r="I565" i="12"/>
  <c r="H565" i="12"/>
  <c r="I564" i="12"/>
  <c r="H564" i="12"/>
  <c r="I563" i="12"/>
  <c r="H563" i="12"/>
  <c r="I562" i="12"/>
  <c r="H562" i="12"/>
  <c r="I561" i="12"/>
  <c r="H561" i="12"/>
  <c r="I560" i="12"/>
  <c r="H560" i="12"/>
  <c r="I559" i="12"/>
  <c r="H559" i="12"/>
  <c r="I558" i="12"/>
  <c r="H558" i="12"/>
  <c r="I557" i="12"/>
  <c r="H557" i="12"/>
  <c r="I556" i="12"/>
  <c r="H556" i="12"/>
  <c r="I555" i="12"/>
  <c r="H555" i="12"/>
  <c r="I554" i="12"/>
  <c r="H554" i="12"/>
  <c r="I553" i="12"/>
  <c r="H553" i="12"/>
  <c r="I552" i="12"/>
  <c r="H552" i="12"/>
  <c r="I551" i="12"/>
  <c r="H551" i="12"/>
  <c r="I550" i="12"/>
  <c r="H550" i="12"/>
  <c r="I549" i="12"/>
  <c r="H549" i="12"/>
  <c r="I548" i="12"/>
  <c r="H548" i="12"/>
  <c r="I547" i="12"/>
  <c r="H547" i="12"/>
  <c r="I546" i="12"/>
  <c r="H546" i="12"/>
  <c r="I545" i="12"/>
  <c r="H545" i="12"/>
  <c r="I544" i="12"/>
  <c r="H544" i="12"/>
  <c r="I543" i="12"/>
  <c r="H543" i="12"/>
  <c r="I542" i="12"/>
  <c r="H542" i="12"/>
  <c r="I541" i="12"/>
  <c r="H541" i="12"/>
  <c r="I540" i="12"/>
  <c r="H540" i="12"/>
  <c r="I539" i="12"/>
  <c r="H539" i="12"/>
  <c r="I538" i="12"/>
  <c r="H538" i="12"/>
  <c r="I537" i="12"/>
  <c r="H537" i="12"/>
  <c r="I536" i="12"/>
  <c r="H536" i="12"/>
  <c r="I535" i="12"/>
  <c r="H535" i="12"/>
  <c r="I534" i="12"/>
  <c r="H534" i="12"/>
  <c r="I533" i="12"/>
  <c r="H533" i="12"/>
  <c r="I532" i="12"/>
  <c r="H532" i="12"/>
  <c r="I531" i="12"/>
  <c r="H531" i="12"/>
  <c r="I530" i="12"/>
  <c r="H530" i="12"/>
  <c r="I529" i="12"/>
  <c r="H529" i="12"/>
  <c r="I528" i="12"/>
  <c r="H528" i="12"/>
  <c r="I527" i="12"/>
  <c r="H527" i="12"/>
  <c r="I526" i="12"/>
  <c r="H526" i="12"/>
  <c r="I525" i="12"/>
  <c r="H525" i="12"/>
  <c r="I524" i="12"/>
  <c r="H524" i="12"/>
  <c r="I523" i="12"/>
  <c r="H523" i="12"/>
  <c r="I522" i="12"/>
  <c r="H522" i="12"/>
  <c r="I521" i="12"/>
  <c r="H521" i="12"/>
  <c r="I520" i="12"/>
  <c r="H520" i="12"/>
  <c r="I519" i="12"/>
  <c r="H519" i="12"/>
  <c r="I518" i="12"/>
  <c r="H518" i="12"/>
  <c r="I517" i="12"/>
  <c r="H517" i="12"/>
  <c r="I516" i="12"/>
  <c r="H516" i="12"/>
  <c r="I515" i="12"/>
  <c r="H515" i="12"/>
  <c r="I514" i="12"/>
  <c r="H514" i="12"/>
  <c r="I513" i="12"/>
  <c r="H513" i="12"/>
  <c r="I512" i="12"/>
  <c r="H512" i="12"/>
  <c r="I511" i="12"/>
  <c r="H511" i="12"/>
  <c r="I510" i="12"/>
  <c r="H510" i="12"/>
  <c r="I509" i="12"/>
  <c r="H509" i="12"/>
  <c r="I508" i="12"/>
  <c r="H508" i="12"/>
  <c r="I507" i="12"/>
  <c r="H507" i="12"/>
  <c r="I506" i="12"/>
  <c r="H506" i="12"/>
  <c r="I505" i="12"/>
  <c r="H505" i="12"/>
  <c r="I504" i="12"/>
  <c r="H504" i="12"/>
  <c r="I503" i="12"/>
  <c r="H503" i="12"/>
  <c r="I502" i="12"/>
  <c r="H502" i="12"/>
  <c r="I501" i="12"/>
  <c r="H501" i="12"/>
  <c r="I500" i="12"/>
  <c r="H500" i="12"/>
  <c r="I499" i="12"/>
  <c r="H499" i="12"/>
  <c r="I498" i="12"/>
  <c r="H498" i="12"/>
  <c r="I497" i="12"/>
  <c r="H497" i="12"/>
  <c r="I496" i="12"/>
  <c r="H496" i="12"/>
  <c r="I495" i="12"/>
  <c r="H495" i="12"/>
  <c r="I494" i="12"/>
  <c r="H494" i="12"/>
  <c r="I493" i="12"/>
  <c r="H493" i="12"/>
  <c r="I492" i="12"/>
  <c r="H492" i="12"/>
  <c r="I491" i="12"/>
  <c r="H491" i="12"/>
  <c r="I490" i="12"/>
  <c r="H490" i="12"/>
  <c r="I489" i="12"/>
  <c r="H489" i="12"/>
  <c r="I488" i="12"/>
  <c r="H488" i="12"/>
  <c r="I487" i="12"/>
  <c r="H487" i="12"/>
  <c r="I486" i="12"/>
  <c r="H486" i="12"/>
  <c r="I485" i="12"/>
  <c r="H485" i="12"/>
  <c r="I484" i="12"/>
  <c r="H484" i="12"/>
  <c r="I483" i="12"/>
  <c r="H483" i="12"/>
  <c r="I482" i="12"/>
  <c r="H482" i="12"/>
  <c r="I481" i="12"/>
  <c r="H481" i="12"/>
  <c r="I480" i="12"/>
  <c r="H480" i="12"/>
  <c r="I479" i="12"/>
  <c r="H479" i="12"/>
  <c r="I478" i="12"/>
  <c r="H478" i="12"/>
  <c r="I477" i="12"/>
  <c r="H477" i="12"/>
  <c r="I476" i="12"/>
  <c r="H476" i="12"/>
  <c r="I475" i="12"/>
  <c r="H475" i="12"/>
  <c r="I474" i="12"/>
  <c r="H474" i="12"/>
  <c r="I473" i="12"/>
  <c r="H473" i="12"/>
  <c r="I472" i="12"/>
  <c r="H472" i="12"/>
  <c r="I471" i="12"/>
  <c r="H471" i="12"/>
  <c r="I470" i="12"/>
  <c r="H470" i="12"/>
  <c r="I469" i="12"/>
  <c r="H469" i="12"/>
  <c r="I468" i="12"/>
  <c r="H468" i="12"/>
  <c r="I467" i="12"/>
  <c r="H467" i="12"/>
  <c r="I466" i="12"/>
  <c r="H466" i="12"/>
  <c r="I465" i="12"/>
  <c r="H465" i="12"/>
  <c r="I464" i="12"/>
  <c r="H464" i="12"/>
  <c r="I463" i="12"/>
  <c r="H463" i="12"/>
  <c r="I462" i="12"/>
  <c r="H462" i="12"/>
  <c r="I461" i="12"/>
  <c r="H461" i="12"/>
  <c r="I460" i="12"/>
  <c r="H460" i="12"/>
  <c r="I459" i="12"/>
  <c r="H459" i="12"/>
  <c r="I458" i="12"/>
  <c r="H458" i="12"/>
  <c r="I457" i="12"/>
  <c r="H457" i="12"/>
  <c r="I456" i="12"/>
  <c r="H456" i="12"/>
  <c r="I455" i="12"/>
  <c r="H455" i="12"/>
  <c r="I454" i="12"/>
  <c r="H454" i="12"/>
  <c r="I453" i="12"/>
  <c r="H453" i="12"/>
  <c r="I452" i="12"/>
  <c r="H452" i="12"/>
  <c r="I451" i="12"/>
  <c r="H451" i="12"/>
  <c r="I450" i="12"/>
  <c r="H450" i="12"/>
  <c r="I449" i="12"/>
  <c r="H449" i="12"/>
  <c r="I448" i="12"/>
  <c r="H448" i="12"/>
  <c r="I447" i="12"/>
  <c r="H447" i="12"/>
  <c r="I446" i="12"/>
  <c r="H446" i="12"/>
  <c r="I445" i="12"/>
  <c r="H445" i="12"/>
  <c r="I444" i="12"/>
  <c r="H444" i="12"/>
  <c r="I443" i="12"/>
  <c r="H443" i="12"/>
  <c r="I442" i="12"/>
  <c r="H442" i="12"/>
  <c r="I441" i="12"/>
  <c r="H441" i="12"/>
  <c r="I440" i="12"/>
  <c r="H440" i="12"/>
  <c r="I439" i="12"/>
  <c r="H439" i="12"/>
  <c r="I438" i="12"/>
  <c r="H438" i="12"/>
  <c r="I437" i="12"/>
  <c r="H437" i="12"/>
  <c r="I436" i="12"/>
  <c r="H436" i="12"/>
  <c r="I435" i="12"/>
  <c r="H435" i="12"/>
  <c r="I434" i="12"/>
  <c r="H434" i="12"/>
  <c r="I433" i="12"/>
  <c r="H433" i="12"/>
  <c r="I432" i="12"/>
  <c r="H432" i="12"/>
  <c r="I431" i="12"/>
  <c r="H431" i="12"/>
  <c r="I430" i="12"/>
  <c r="H430" i="12"/>
  <c r="I429" i="12"/>
  <c r="H429" i="12"/>
  <c r="I428" i="12"/>
  <c r="H428" i="12"/>
  <c r="I427" i="12"/>
  <c r="H427" i="12"/>
  <c r="I426" i="12"/>
  <c r="H426" i="12"/>
  <c r="I425" i="12"/>
  <c r="H425" i="12"/>
  <c r="I424" i="12"/>
  <c r="H424" i="12"/>
  <c r="I423" i="12"/>
  <c r="H423" i="12"/>
  <c r="I422" i="12"/>
  <c r="H422" i="12"/>
  <c r="I421" i="12"/>
  <c r="H421" i="12"/>
  <c r="I420" i="12"/>
  <c r="H420" i="12"/>
  <c r="I419" i="12"/>
  <c r="H419" i="12"/>
  <c r="I418" i="12"/>
  <c r="H418" i="12"/>
  <c r="I417" i="12"/>
  <c r="H417" i="12"/>
  <c r="I416" i="12"/>
  <c r="H416" i="12"/>
  <c r="I415" i="12"/>
  <c r="H415" i="12"/>
  <c r="I414" i="12"/>
  <c r="H414" i="12"/>
  <c r="I413" i="12"/>
  <c r="H413" i="12"/>
  <c r="I412" i="12"/>
  <c r="H412" i="12"/>
  <c r="I411" i="12"/>
  <c r="H411" i="12"/>
  <c r="I410" i="12"/>
  <c r="H410" i="12"/>
  <c r="I409" i="12"/>
  <c r="H409" i="12"/>
  <c r="I408" i="12"/>
  <c r="H408" i="12"/>
  <c r="I407" i="12"/>
  <c r="H407" i="12"/>
  <c r="I406" i="12"/>
  <c r="H406" i="12"/>
  <c r="I405" i="12"/>
  <c r="H405" i="12"/>
  <c r="I404" i="12"/>
  <c r="H404" i="12"/>
  <c r="I403" i="12"/>
  <c r="H403" i="12"/>
  <c r="I402" i="12"/>
  <c r="H402" i="12"/>
  <c r="I401" i="12"/>
  <c r="H401" i="12"/>
  <c r="I400" i="12"/>
  <c r="H400" i="12"/>
  <c r="I399" i="12"/>
  <c r="H399" i="12"/>
  <c r="I398" i="12"/>
  <c r="H398" i="12"/>
  <c r="I397" i="12"/>
  <c r="H397" i="12"/>
  <c r="I396" i="12"/>
  <c r="H396" i="12"/>
  <c r="I395" i="12"/>
  <c r="H395" i="12"/>
  <c r="I394" i="12"/>
  <c r="H394" i="12"/>
  <c r="I393" i="12"/>
  <c r="H393" i="12"/>
  <c r="I392" i="12"/>
  <c r="H392" i="12"/>
  <c r="I391" i="12"/>
  <c r="H391" i="12"/>
  <c r="I390" i="12"/>
  <c r="H390" i="12"/>
  <c r="I389" i="12"/>
  <c r="H389" i="12"/>
  <c r="I388" i="12"/>
  <c r="H388" i="12"/>
  <c r="I387" i="12"/>
  <c r="H387" i="12"/>
  <c r="I386" i="12"/>
  <c r="H386" i="12"/>
  <c r="I385" i="12"/>
  <c r="H385" i="12"/>
  <c r="I384" i="12"/>
  <c r="H384" i="12"/>
  <c r="I383" i="12"/>
  <c r="H383" i="12"/>
  <c r="I382" i="12"/>
  <c r="H382" i="12"/>
  <c r="I381" i="12"/>
  <c r="H381" i="12"/>
  <c r="I380" i="12"/>
  <c r="H380" i="12"/>
  <c r="I379" i="12"/>
  <c r="H379" i="12"/>
  <c r="I378" i="12"/>
  <c r="H378" i="12"/>
  <c r="I377" i="12"/>
  <c r="H377" i="12"/>
  <c r="I376" i="12"/>
  <c r="H376" i="12"/>
  <c r="I375" i="12"/>
  <c r="H375" i="12"/>
  <c r="I374" i="12"/>
  <c r="H374" i="12"/>
  <c r="I373" i="12"/>
  <c r="H373" i="12"/>
  <c r="I372" i="12"/>
  <c r="H372" i="12"/>
  <c r="I371" i="12"/>
  <c r="H371" i="12"/>
  <c r="I370" i="12"/>
  <c r="H370" i="12"/>
  <c r="I369" i="12"/>
  <c r="H369" i="12"/>
  <c r="I368" i="12"/>
  <c r="H368" i="12"/>
  <c r="I367" i="12"/>
  <c r="H367" i="12"/>
  <c r="I366" i="12"/>
  <c r="H366" i="12"/>
  <c r="I365" i="12"/>
  <c r="H365" i="12"/>
  <c r="I364" i="12"/>
  <c r="H364" i="12"/>
  <c r="I363" i="12"/>
  <c r="H363" i="12"/>
  <c r="I362" i="12"/>
  <c r="H362" i="12"/>
  <c r="I361" i="12"/>
  <c r="H361" i="12"/>
  <c r="I360" i="12"/>
  <c r="H360" i="12"/>
  <c r="I359" i="12"/>
  <c r="H359" i="12"/>
  <c r="I358" i="12"/>
  <c r="H358" i="12"/>
  <c r="I357" i="12"/>
  <c r="H357" i="12"/>
  <c r="I356" i="12"/>
  <c r="H356" i="12"/>
  <c r="I355" i="12"/>
  <c r="H355" i="12"/>
  <c r="I354" i="12"/>
  <c r="H354" i="12"/>
  <c r="I353" i="12"/>
  <c r="H353" i="12"/>
  <c r="I352" i="12"/>
  <c r="H352" i="12"/>
  <c r="I351" i="12"/>
  <c r="H351" i="12"/>
  <c r="I350" i="12"/>
  <c r="H350" i="12"/>
  <c r="I349" i="12"/>
  <c r="H349" i="12"/>
  <c r="I348" i="12"/>
  <c r="H348" i="12"/>
  <c r="I347" i="12"/>
  <c r="H347" i="12"/>
  <c r="I346" i="12"/>
  <c r="H346" i="12"/>
  <c r="I345" i="12"/>
  <c r="H345" i="12"/>
  <c r="I344" i="12"/>
  <c r="H344" i="12"/>
  <c r="I343" i="12"/>
  <c r="H343" i="12"/>
  <c r="I342" i="12"/>
  <c r="H342" i="12"/>
  <c r="I341" i="12"/>
  <c r="H341" i="12"/>
  <c r="I340" i="12"/>
  <c r="H340" i="12"/>
  <c r="I339" i="12"/>
  <c r="H339" i="12"/>
  <c r="I338" i="12"/>
  <c r="H338" i="12"/>
  <c r="I337" i="12"/>
  <c r="H337" i="12"/>
  <c r="I336" i="12"/>
  <c r="H336" i="12"/>
  <c r="I335" i="12"/>
  <c r="H335" i="12"/>
  <c r="I334" i="12"/>
  <c r="H334" i="12"/>
  <c r="I333" i="12"/>
  <c r="H333" i="12"/>
  <c r="I332" i="12"/>
  <c r="H332" i="12"/>
  <c r="I331" i="12"/>
  <c r="H331" i="12"/>
  <c r="I330" i="12"/>
  <c r="H330" i="12"/>
  <c r="I329" i="12"/>
  <c r="H329" i="12"/>
  <c r="I328" i="12"/>
  <c r="H328" i="12"/>
  <c r="I327" i="12"/>
  <c r="H327" i="12"/>
  <c r="I326" i="12"/>
  <c r="H326" i="12"/>
  <c r="I325" i="12"/>
  <c r="H325" i="12"/>
  <c r="I324" i="12"/>
  <c r="H324" i="12"/>
  <c r="I323" i="12"/>
  <c r="H323" i="12"/>
  <c r="I322" i="12"/>
  <c r="H322" i="12"/>
  <c r="I321" i="12"/>
  <c r="H321" i="12"/>
  <c r="I320" i="12"/>
  <c r="H320" i="12"/>
  <c r="I319" i="12"/>
  <c r="H319" i="12"/>
  <c r="I318" i="12"/>
  <c r="H318" i="12"/>
  <c r="I317" i="12"/>
  <c r="H317" i="12"/>
  <c r="I316" i="12"/>
  <c r="H316" i="12"/>
  <c r="I315" i="12"/>
  <c r="H315" i="12"/>
  <c r="I314" i="12"/>
  <c r="H314" i="12"/>
  <c r="I313" i="12"/>
  <c r="H313" i="12"/>
  <c r="I312" i="12"/>
  <c r="H312" i="12"/>
  <c r="I311" i="12"/>
  <c r="H311" i="12"/>
  <c r="I310" i="12"/>
  <c r="H310" i="12"/>
  <c r="I309" i="12"/>
  <c r="H309" i="12"/>
  <c r="I308" i="12"/>
  <c r="H308" i="12"/>
  <c r="I307" i="12"/>
  <c r="H307" i="12"/>
  <c r="I306" i="12"/>
  <c r="H306" i="12"/>
  <c r="I305" i="12"/>
  <c r="H305" i="12"/>
  <c r="I304" i="12"/>
  <c r="H304" i="12"/>
  <c r="I303" i="12"/>
  <c r="H303" i="12"/>
  <c r="I302" i="12"/>
  <c r="H302" i="12"/>
  <c r="I301" i="12"/>
  <c r="H301" i="12"/>
  <c r="I300" i="12"/>
  <c r="H300" i="12"/>
  <c r="I299" i="12"/>
  <c r="H299" i="12"/>
  <c r="I298" i="12"/>
  <c r="H298" i="12"/>
  <c r="I297" i="12"/>
  <c r="H297" i="12"/>
  <c r="I296" i="12"/>
  <c r="H296" i="12"/>
  <c r="I295" i="12"/>
  <c r="H295" i="12"/>
  <c r="I294" i="12"/>
  <c r="H294" i="12"/>
  <c r="I293" i="12"/>
  <c r="H293" i="12"/>
  <c r="I292" i="12"/>
  <c r="H292" i="12"/>
  <c r="I291" i="12"/>
  <c r="H291" i="12"/>
  <c r="I290" i="12"/>
  <c r="H290" i="12"/>
  <c r="I289" i="12"/>
  <c r="H289" i="12"/>
  <c r="I288" i="12"/>
  <c r="H288" i="12"/>
  <c r="I287" i="12"/>
  <c r="H287" i="12"/>
  <c r="I286" i="12"/>
  <c r="H286" i="12"/>
  <c r="I285" i="12"/>
  <c r="H285" i="12"/>
  <c r="I284" i="12"/>
  <c r="H284" i="12"/>
  <c r="I283" i="12"/>
  <c r="H283" i="12"/>
  <c r="I282" i="12"/>
  <c r="H282" i="12"/>
  <c r="I281" i="12"/>
  <c r="H281" i="12"/>
  <c r="I280" i="12"/>
  <c r="H280" i="12"/>
  <c r="I279" i="12"/>
  <c r="H279" i="12"/>
  <c r="I278" i="12"/>
  <c r="H278" i="12"/>
  <c r="I277" i="12"/>
  <c r="H277" i="12"/>
  <c r="I276" i="12"/>
  <c r="H276" i="12"/>
  <c r="I275" i="12"/>
  <c r="H275" i="12"/>
  <c r="I274" i="12"/>
  <c r="H274" i="12"/>
  <c r="I273" i="12"/>
  <c r="H273" i="12"/>
  <c r="I272" i="12"/>
  <c r="H272" i="12"/>
  <c r="I271" i="12"/>
  <c r="H271" i="12"/>
  <c r="I270" i="12"/>
  <c r="H270" i="12"/>
  <c r="I269" i="12"/>
  <c r="H269" i="12"/>
  <c r="I268" i="12"/>
  <c r="H268" i="12"/>
  <c r="I267" i="12"/>
  <c r="H267" i="12"/>
  <c r="I266" i="12"/>
  <c r="H266" i="12"/>
  <c r="I265" i="12"/>
  <c r="H265" i="12"/>
  <c r="I264" i="12"/>
  <c r="H264" i="12"/>
  <c r="I263" i="12"/>
  <c r="H263" i="12"/>
  <c r="I262" i="12"/>
  <c r="H262" i="12"/>
  <c r="I261" i="12"/>
  <c r="H261" i="12"/>
  <c r="I260" i="12"/>
  <c r="H260" i="12"/>
  <c r="I259" i="12"/>
  <c r="H259" i="12"/>
  <c r="I258" i="12"/>
  <c r="H258" i="12"/>
  <c r="I257" i="12"/>
  <c r="H257" i="12"/>
  <c r="I256" i="12"/>
  <c r="H256" i="12"/>
  <c r="I255" i="12"/>
  <c r="H255" i="12"/>
  <c r="I254" i="12"/>
  <c r="H254" i="12"/>
  <c r="I253" i="12"/>
  <c r="H253" i="12"/>
  <c r="I252" i="12"/>
  <c r="H252" i="12"/>
  <c r="I251" i="12"/>
  <c r="H251" i="12"/>
  <c r="I250" i="12"/>
  <c r="H250" i="12"/>
  <c r="I249" i="12"/>
  <c r="H249" i="12"/>
  <c r="I248" i="12"/>
  <c r="H248" i="12"/>
  <c r="I247" i="12"/>
  <c r="H247" i="12"/>
  <c r="I246" i="12"/>
  <c r="H246" i="12"/>
  <c r="I245" i="12"/>
  <c r="H245" i="12"/>
  <c r="I244" i="12"/>
  <c r="H244" i="12"/>
  <c r="I243" i="12"/>
  <c r="H243" i="12"/>
  <c r="I242" i="12"/>
  <c r="H242" i="12"/>
  <c r="I241" i="12"/>
  <c r="H241" i="12"/>
  <c r="I240" i="12"/>
  <c r="H240" i="12"/>
  <c r="I239" i="12"/>
  <c r="H239" i="12"/>
  <c r="I238" i="12"/>
  <c r="H238" i="12"/>
  <c r="I237" i="12"/>
  <c r="H237" i="12"/>
  <c r="I236" i="12"/>
  <c r="H236" i="12"/>
  <c r="I235" i="12"/>
  <c r="H235" i="12"/>
  <c r="I234" i="12"/>
  <c r="H234" i="12"/>
  <c r="I233" i="12"/>
  <c r="H233" i="12"/>
  <c r="AS232" i="12"/>
  <c r="AR232" i="12"/>
  <c r="AQ232" i="12"/>
  <c r="AP232" i="12"/>
  <c r="AO232" i="12"/>
  <c r="AN232" i="12"/>
  <c r="AM232" i="12"/>
  <c r="AL232" i="12"/>
  <c r="AK232" i="12"/>
  <c r="AJ232" i="12"/>
  <c r="AI232" i="12"/>
  <c r="AH232" i="12"/>
  <c r="AG232" i="12"/>
  <c r="AF232" i="12"/>
  <c r="I232" i="12"/>
  <c r="H232" i="12"/>
  <c r="I231" i="12"/>
  <c r="H231" i="12"/>
  <c r="I230" i="12"/>
  <c r="H230" i="12"/>
  <c r="AS229" i="12"/>
  <c r="AR229" i="12"/>
  <c r="AQ229" i="12"/>
  <c r="AP229" i="12"/>
  <c r="AO229" i="12"/>
  <c r="AN229" i="12"/>
  <c r="AM229" i="12"/>
  <c r="AL229" i="12"/>
  <c r="AK229" i="12"/>
  <c r="AJ229" i="12"/>
  <c r="AI229" i="12"/>
  <c r="AH229" i="12"/>
  <c r="AG229" i="12"/>
  <c r="AF229" i="12"/>
  <c r="I229" i="12"/>
  <c r="H229" i="12"/>
  <c r="I228" i="12"/>
  <c r="H228" i="12"/>
  <c r="I227" i="12"/>
  <c r="H227" i="12"/>
  <c r="I226" i="12"/>
  <c r="H226" i="12"/>
  <c r="I225" i="12"/>
  <c r="H225" i="12"/>
  <c r="AS224" i="12"/>
  <c r="AR224" i="12"/>
  <c r="AQ224" i="12"/>
  <c r="AP224" i="12"/>
  <c r="AO224" i="12"/>
  <c r="AN224" i="12"/>
  <c r="AM224" i="12"/>
  <c r="AL224" i="12"/>
  <c r="AK224" i="12"/>
  <c r="AJ224" i="12"/>
  <c r="AI224" i="12"/>
  <c r="AH224" i="12"/>
  <c r="AG224" i="12"/>
  <c r="AF224" i="12"/>
  <c r="I224" i="12"/>
  <c r="H224" i="12"/>
  <c r="I223" i="12"/>
  <c r="H223" i="12"/>
  <c r="I222" i="12"/>
  <c r="H222" i="12"/>
  <c r="AS221" i="12"/>
  <c r="AR221" i="12"/>
  <c r="AQ221" i="12"/>
  <c r="AP221" i="12"/>
  <c r="AO221" i="12"/>
  <c r="AN221" i="12"/>
  <c r="AM221" i="12"/>
  <c r="AL221" i="12"/>
  <c r="AK221" i="12"/>
  <c r="AJ221" i="12"/>
  <c r="AI221" i="12"/>
  <c r="AH221" i="12"/>
  <c r="AG221" i="12"/>
  <c r="AF221" i="12"/>
  <c r="I221" i="12"/>
  <c r="H221" i="12"/>
  <c r="I220" i="12"/>
  <c r="H220" i="12"/>
  <c r="I219" i="12"/>
  <c r="H219" i="12"/>
  <c r="I218" i="12"/>
  <c r="H218" i="12"/>
  <c r="I217" i="12"/>
  <c r="H217" i="12"/>
  <c r="AS216" i="12"/>
  <c r="AR216" i="12"/>
  <c r="AQ216" i="12"/>
  <c r="AP216" i="12"/>
  <c r="AO216" i="12"/>
  <c r="AN216" i="12"/>
  <c r="AM216" i="12"/>
  <c r="AL216" i="12"/>
  <c r="AK216" i="12"/>
  <c r="AJ216" i="12"/>
  <c r="AI216" i="12"/>
  <c r="AH216" i="12"/>
  <c r="AG216" i="12"/>
  <c r="AF216" i="12"/>
  <c r="I216" i="12"/>
  <c r="H216" i="12"/>
  <c r="I215" i="12"/>
  <c r="H215" i="12"/>
  <c r="I214" i="12"/>
  <c r="H214" i="12"/>
  <c r="AS213" i="12"/>
  <c r="AR213" i="12"/>
  <c r="AQ213" i="12"/>
  <c r="AP213" i="12"/>
  <c r="AO213" i="12"/>
  <c r="AN213" i="12"/>
  <c r="AM213" i="12"/>
  <c r="AL213" i="12"/>
  <c r="AK213" i="12"/>
  <c r="AJ213" i="12"/>
  <c r="AI213" i="12"/>
  <c r="AH213" i="12"/>
  <c r="AG213" i="12"/>
  <c r="AF213" i="12"/>
  <c r="I213" i="12"/>
  <c r="H213" i="12"/>
  <c r="I212" i="12"/>
  <c r="H212" i="12"/>
  <c r="I211" i="12"/>
  <c r="H211" i="12"/>
  <c r="I210" i="12"/>
  <c r="H210" i="12"/>
  <c r="I209" i="12"/>
  <c r="H209" i="12"/>
  <c r="AS208" i="12"/>
  <c r="AR208" i="12"/>
  <c r="AQ208" i="12"/>
  <c r="AP208" i="12"/>
  <c r="AO208" i="12"/>
  <c r="AN208" i="12"/>
  <c r="AM208" i="12"/>
  <c r="AL208" i="12"/>
  <c r="AK208" i="12"/>
  <c r="AJ208" i="12"/>
  <c r="AI208" i="12"/>
  <c r="AH208" i="12"/>
  <c r="AG208" i="12"/>
  <c r="AF208" i="12"/>
  <c r="I208" i="12"/>
  <c r="H208" i="12"/>
  <c r="I207" i="12"/>
  <c r="H207" i="12"/>
  <c r="I206" i="12"/>
  <c r="H206" i="12"/>
  <c r="AS205" i="12"/>
  <c r="AR205" i="12"/>
  <c r="AQ205" i="12"/>
  <c r="AP205" i="12"/>
  <c r="AO205" i="12"/>
  <c r="AN205" i="12"/>
  <c r="AM205" i="12"/>
  <c r="AL205" i="12"/>
  <c r="AK205" i="12"/>
  <c r="AJ205" i="12"/>
  <c r="AI205" i="12"/>
  <c r="AH205" i="12"/>
  <c r="AG205" i="12"/>
  <c r="AF205" i="12"/>
  <c r="I205" i="12"/>
  <c r="H205" i="12"/>
  <c r="I204" i="12"/>
  <c r="H204" i="12"/>
  <c r="I203" i="12"/>
  <c r="H203" i="12"/>
  <c r="I202" i="12"/>
  <c r="H202" i="12"/>
  <c r="I201" i="12"/>
  <c r="H201" i="12"/>
  <c r="AS200" i="12"/>
  <c r="AR200" i="12"/>
  <c r="AQ200" i="12"/>
  <c r="AP200" i="12"/>
  <c r="AO200" i="12"/>
  <c r="AN200" i="12"/>
  <c r="AM200" i="12"/>
  <c r="AL200" i="12"/>
  <c r="AK200" i="12"/>
  <c r="AJ200" i="12"/>
  <c r="AI200" i="12"/>
  <c r="AH200" i="12"/>
  <c r="AG200" i="12"/>
  <c r="AF200" i="12"/>
  <c r="I200" i="12"/>
  <c r="H200" i="12"/>
  <c r="I199" i="12"/>
  <c r="H199" i="12"/>
  <c r="I198" i="12"/>
  <c r="H198" i="12"/>
  <c r="AS197" i="12"/>
  <c r="AR197" i="12"/>
  <c r="AQ197" i="12"/>
  <c r="AP197" i="12"/>
  <c r="AO197" i="12"/>
  <c r="AN197" i="12"/>
  <c r="AM197" i="12"/>
  <c r="AL197" i="12"/>
  <c r="AK197" i="12"/>
  <c r="AJ197" i="12"/>
  <c r="AI197" i="12"/>
  <c r="AH197" i="12"/>
  <c r="AG197" i="12"/>
  <c r="AF197" i="12"/>
  <c r="I197" i="12"/>
  <c r="H197" i="12"/>
  <c r="I196" i="12"/>
  <c r="H196" i="12"/>
  <c r="I195" i="12"/>
  <c r="H195" i="12"/>
  <c r="I194" i="12"/>
  <c r="H194" i="12"/>
  <c r="I193" i="12"/>
  <c r="H193" i="12"/>
  <c r="AS192" i="12"/>
  <c r="AR192" i="12"/>
  <c r="AQ192" i="12"/>
  <c r="AP192" i="12"/>
  <c r="AO192" i="12"/>
  <c r="AN192" i="12"/>
  <c r="AM192" i="12"/>
  <c r="AL192" i="12"/>
  <c r="AK192" i="12"/>
  <c r="AJ192" i="12"/>
  <c r="AI192" i="12"/>
  <c r="AH192" i="12"/>
  <c r="AG192" i="12"/>
  <c r="AF192" i="12"/>
  <c r="I192" i="12"/>
  <c r="H192" i="12"/>
  <c r="I191" i="12"/>
  <c r="H191" i="12"/>
  <c r="I190" i="12"/>
  <c r="H190" i="12"/>
  <c r="AS189" i="12"/>
  <c r="AR189" i="12"/>
  <c r="AQ189" i="12"/>
  <c r="AP189" i="12"/>
  <c r="AO189" i="12"/>
  <c r="AN189" i="12"/>
  <c r="AM189" i="12"/>
  <c r="AL189" i="12"/>
  <c r="AK189" i="12"/>
  <c r="AJ189" i="12"/>
  <c r="AI189" i="12"/>
  <c r="AH189" i="12"/>
  <c r="AG189" i="12"/>
  <c r="AF189" i="12"/>
  <c r="I189" i="12"/>
  <c r="H189" i="12"/>
  <c r="I188" i="12"/>
  <c r="H188" i="12"/>
  <c r="I187" i="12"/>
  <c r="H187" i="12"/>
  <c r="I186" i="12"/>
  <c r="H186" i="12"/>
  <c r="I185" i="12"/>
  <c r="H185" i="12"/>
  <c r="AS184" i="12"/>
  <c r="AR184" i="12"/>
  <c r="AQ184" i="12"/>
  <c r="AP184" i="12"/>
  <c r="AO184" i="12"/>
  <c r="AN184" i="12"/>
  <c r="AM184" i="12"/>
  <c r="AL184" i="12"/>
  <c r="AK184" i="12"/>
  <c r="AJ184" i="12"/>
  <c r="AI184" i="12"/>
  <c r="AH184" i="12"/>
  <c r="AG184" i="12"/>
  <c r="AF184" i="12"/>
  <c r="I184" i="12"/>
  <c r="H184" i="12"/>
  <c r="I183" i="12"/>
  <c r="H183" i="12"/>
  <c r="I182" i="12"/>
  <c r="H182" i="12"/>
  <c r="AS181" i="12"/>
  <c r="AR181" i="12"/>
  <c r="AQ181" i="12"/>
  <c r="AP181" i="12"/>
  <c r="AO181" i="12"/>
  <c r="AN181" i="12"/>
  <c r="AM181" i="12"/>
  <c r="AL181" i="12"/>
  <c r="AK181" i="12"/>
  <c r="AJ181" i="12"/>
  <c r="AI181" i="12"/>
  <c r="AH181" i="12"/>
  <c r="AG181" i="12"/>
  <c r="AF181" i="12"/>
  <c r="I181" i="12"/>
  <c r="H181" i="12"/>
  <c r="I180" i="12"/>
  <c r="H180" i="12"/>
  <c r="I179" i="12"/>
  <c r="H179" i="12"/>
  <c r="I178" i="12"/>
  <c r="H178" i="12"/>
  <c r="I177" i="12"/>
  <c r="H177" i="12"/>
  <c r="AS176" i="12"/>
  <c r="AR176" i="12"/>
  <c r="AQ176" i="12"/>
  <c r="AP176" i="12"/>
  <c r="AO176" i="12"/>
  <c r="AN176" i="12"/>
  <c r="AM176" i="12"/>
  <c r="AL176" i="12"/>
  <c r="AK176" i="12"/>
  <c r="AJ176" i="12"/>
  <c r="AI176" i="12"/>
  <c r="AH176" i="12"/>
  <c r="AG176" i="12"/>
  <c r="AF176" i="12"/>
  <c r="I176" i="12"/>
  <c r="H176" i="12"/>
  <c r="I175" i="12"/>
  <c r="H175" i="12"/>
  <c r="I174" i="12"/>
  <c r="H174" i="12"/>
  <c r="AS173" i="12"/>
  <c r="AR173" i="12"/>
  <c r="AQ173" i="12"/>
  <c r="AP173" i="12"/>
  <c r="AO173" i="12"/>
  <c r="AN173" i="12"/>
  <c r="AM173" i="12"/>
  <c r="AL173" i="12"/>
  <c r="AK173" i="12"/>
  <c r="AJ173" i="12"/>
  <c r="AI173" i="12"/>
  <c r="AH173" i="12"/>
  <c r="AG173" i="12"/>
  <c r="AF173" i="12"/>
  <c r="I173" i="12"/>
  <c r="H173" i="12"/>
  <c r="I172" i="12"/>
  <c r="H172" i="12"/>
  <c r="I171" i="12"/>
  <c r="H171" i="12"/>
  <c r="I170" i="12"/>
  <c r="H170" i="12"/>
  <c r="I169" i="12"/>
  <c r="H169" i="12"/>
  <c r="AS168" i="12"/>
  <c r="AR168" i="12"/>
  <c r="AQ168" i="12"/>
  <c r="AP168" i="12"/>
  <c r="AO168" i="12"/>
  <c r="AN168" i="12"/>
  <c r="AM168" i="12"/>
  <c r="AL168" i="12"/>
  <c r="AK168" i="12"/>
  <c r="AJ168" i="12"/>
  <c r="AI168" i="12"/>
  <c r="AH168" i="12"/>
  <c r="AG168" i="12"/>
  <c r="AF168" i="12"/>
  <c r="I168" i="12"/>
  <c r="H168" i="12"/>
  <c r="I167" i="12"/>
  <c r="H167" i="12"/>
  <c r="I166" i="12"/>
  <c r="H166" i="12"/>
  <c r="AS165" i="12"/>
  <c r="AR165" i="12"/>
  <c r="AQ165" i="12"/>
  <c r="AP165" i="12"/>
  <c r="AO165" i="12"/>
  <c r="AN165" i="12"/>
  <c r="AM165" i="12"/>
  <c r="AL165" i="12"/>
  <c r="AK165" i="12"/>
  <c r="AJ165" i="12"/>
  <c r="AI165" i="12"/>
  <c r="AH165" i="12"/>
  <c r="AG165" i="12"/>
  <c r="AF165" i="12"/>
  <c r="I165" i="12"/>
  <c r="H165" i="12"/>
  <c r="I164" i="12"/>
  <c r="H164" i="12"/>
  <c r="I163" i="12"/>
  <c r="H163" i="12"/>
  <c r="I162" i="12"/>
  <c r="H162" i="12"/>
  <c r="I161" i="12"/>
  <c r="H161" i="12"/>
  <c r="AS160" i="12"/>
  <c r="AR160" i="12"/>
  <c r="AQ160" i="12"/>
  <c r="AP160" i="12"/>
  <c r="AO160" i="12"/>
  <c r="AN160" i="12"/>
  <c r="AM160" i="12"/>
  <c r="AL160" i="12"/>
  <c r="AK160" i="12"/>
  <c r="AJ160" i="12"/>
  <c r="AI160" i="12"/>
  <c r="AH160" i="12"/>
  <c r="AG160" i="12"/>
  <c r="AF160" i="12"/>
  <c r="I160" i="12"/>
  <c r="H160" i="12"/>
  <c r="I159" i="12"/>
  <c r="H159" i="12"/>
  <c r="I158" i="12"/>
  <c r="H158" i="12"/>
  <c r="AS157" i="12"/>
  <c r="AR157" i="12"/>
  <c r="AQ157" i="12"/>
  <c r="AP157" i="12"/>
  <c r="AO157" i="12"/>
  <c r="AN157" i="12"/>
  <c r="AM157" i="12"/>
  <c r="AL157" i="12"/>
  <c r="AK157" i="12"/>
  <c r="AJ157" i="12"/>
  <c r="AI157" i="12"/>
  <c r="AH157" i="12"/>
  <c r="AG157" i="12"/>
  <c r="AF157" i="12"/>
  <c r="I157" i="12"/>
  <c r="H157" i="12"/>
  <c r="I156" i="12"/>
  <c r="H156" i="12"/>
  <c r="I155" i="12"/>
  <c r="H155" i="12"/>
  <c r="I154" i="12"/>
  <c r="H154" i="12"/>
  <c r="I153" i="12"/>
  <c r="H153" i="12"/>
  <c r="AS152" i="12"/>
  <c r="AR152" i="12"/>
  <c r="AQ152" i="12"/>
  <c r="AP152" i="12"/>
  <c r="AO152" i="12"/>
  <c r="AN152" i="12"/>
  <c r="AM152" i="12"/>
  <c r="AL152" i="12"/>
  <c r="AK152" i="12"/>
  <c r="AJ152" i="12"/>
  <c r="AI152" i="12"/>
  <c r="AH152" i="12"/>
  <c r="AG152" i="12"/>
  <c r="AF152" i="12"/>
  <c r="I152" i="12"/>
  <c r="H152" i="12"/>
  <c r="I151" i="12"/>
  <c r="H151" i="12"/>
  <c r="I150" i="12"/>
  <c r="H150" i="12"/>
  <c r="AS149" i="12"/>
  <c r="AR149" i="12"/>
  <c r="AQ149" i="12"/>
  <c r="AP149" i="12"/>
  <c r="AO149" i="12"/>
  <c r="AN149" i="12"/>
  <c r="AM149" i="12"/>
  <c r="AL149" i="12"/>
  <c r="AK149" i="12"/>
  <c r="AJ149" i="12"/>
  <c r="AI149" i="12"/>
  <c r="AH149" i="12"/>
  <c r="AG149" i="12"/>
  <c r="AF149" i="12"/>
  <c r="I149" i="12"/>
  <c r="H149" i="12"/>
  <c r="I148" i="12"/>
  <c r="H148" i="12"/>
  <c r="I147" i="12"/>
  <c r="H147" i="12"/>
  <c r="I146" i="12"/>
  <c r="H146" i="12"/>
  <c r="I145" i="12"/>
  <c r="H145" i="12"/>
  <c r="AS144" i="12"/>
  <c r="AR144" i="12"/>
  <c r="AQ144" i="12"/>
  <c r="AP144" i="12"/>
  <c r="AO144" i="12"/>
  <c r="AN144" i="12"/>
  <c r="AM144" i="12"/>
  <c r="AL144" i="12"/>
  <c r="AK144" i="12"/>
  <c r="AJ144" i="12"/>
  <c r="AI144" i="12"/>
  <c r="AH144" i="12"/>
  <c r="AG144" i="12"/>
  <c r="AF144" i="12"/>
  <c r="I144" i="12"/>
  <c r="H144" i="12"/>
  <c r="I143" i="12"/>
  <c r="H143" i="12"/>
  <c r="I142" i="12"/>
  <c r="H142" i="12"/>
  <c r="AS141" i="12"/>
  <c r="AR141" i="12"/>
  <c r="AQ141" i="12"/>
  <c r="AP141" i="12"/>
  <c r="AO141" i="12"/>
  <c r="AN141" i="12"/>
  <c r="AM141" i="12"/>
  <c r="AL141" i="12"/>
  <c r="AK141" i="12"/>
  <c r="AJ141" i="12"/>
  <c r="AI141" i="12"/>
  <c r="AH141" i="12"/>
  <c r="AG141" i="12"/>
  <c r="AF141" i="12"/>
  <c r="I141" i="12"/>
  <c r="H141" i="12"/>
  <c r="I140" i="12"/>
  <c r="H140" i="12"/>
  <c r="I139" i="12"/>
  <c r="H139" i="12"/>
  <c r="I138" i="12"/>
  <c r="H138" i="12"/>
  <c r="I137" i="12"/>
  <c r="H137" i="12"/>
  <c r="AS136" i="12"/>
  <c r="AR136" i="12"/>
  <c r="AQ136" i="12"/>
  <c r="AP136" i="12"/>
  <c r="J96" i="12" s="1"/>
  <c r="AO136" i="12"/>
  <c r="I96" i="12" s="1"/>
  <c r="AN136" i="12"/>
  <c r="AM136" i="12"/>
  <c r="AL136" i="12"/>
  <c r="AK136" i="12"/>
  <c r="AJ136" i="12"/>
  <c r="AI136" i="12"/>
  <c r="AH136" i="12"/>
  <c r="AG136" i="12"/>
  <c r="AF136" i="12"/>
  <c r="I136" i="12"/>
  <c r="H136" i="12"/>
  <c r="I135" i="12"/>
  <c r="H135" i="12"/>
  <c r="I134" i="12"/>
  <c r="H134" i="12"/>
  <c r="AS133" i="12"/>
  <c r="AR133" i="12"/>
  <c r="AQ133" i="12"/>
  <c r="AP133" i="12"/>
  <c r="AO133" i="12"/>
  <c r="AN133" i="12"/>
  <c r="AM133" i="12"/>
  <c r="AL133" i="12"/>
  <c r="AK133" i="12"/>
  <c r="AJ133" i="12"/>
  <c r="AI133" i="12"/>
  <c r="AH133" i="12"/>
  <c r="AG133" i="12"/>
  <c r="AF133" i="12"/>
  <c r="I133" i="12"/>
  <c r="H133" i="12"/>
  <c r="I132" i="12"/>
  <c r="H132" i="12"/>
  <c r="I131" i="12"/>
  <c r="H131" i="12"/>
  <c r="I130" i="12"/>
  <c r="H130" i="12"/>
  <c r="I129" i="12"/>
  <c r="H129" i="12"/>
  <c r="AS128" i="12"/>
  <c r="AR128" i="12"/>
  <c r="L95" i="12" s="1"/>
  <c r="AQ128" i="12"/>
  <c r="AP128" i="12"/>
  <c r="AO128" i="12"/>
  <c r="AN128" i="12"/>
  <c r="AM128" i="12"/>
  <c r="AL128" i="12"/>
  <c r="AK128" i="12"/>
  <c r="E95" i="12" s="1"/>
  <c r="AJ128" i="12"/>
  <c r="AI128" i="12"/>
  <c r="AH128" i="12"/>
  <c r="AG128" i="12"/>
  <c r="AF128" i="12"/>
  <c r="I128" i="12"/>
  <c r="H128" i="12"/>
  <c r="F19" i="3" s="1"/>
  <c r="I127" i="12"/>
  <c r="H127" i="12"/>
  <c r="I126" i="12"/>
  <c r="H126" i="12"/>
  <c r="AS125" i="12"/>
  <c r="AR125" i="12"/>
  <c r="AQ125" i="12"/>
  <c r="AP125" i="12"/>
  <c r="AO125" i="12"/>
  <c r="AN125" i="12"/>
  <c r="AM125" i="12"/>
  <c r="T95" i="12" s="1"/>
  <c r="AL125" i="12"/>
  <c r="AK125" i="12"/>
  <c r="R95" i="12" s="1"/>
  <c r="AJ125" i="12"/>
  <c r="Q95" i="12" s="1"/>
  <c r="AI125" i="12"/>
  <c r="P95" i="12" s="1"/>
  <c r="AH125" i="12"/>
  <c r="AG125" i="12"/>
  <c r="AF125" i="12"/>
  <c r="I125" i="12"/>
  <c r="H125" i="12"/>
  <c r="I124" i="12"/>
  <c r="H124" i="12"/>
  <c r="I123" i="12"/>
  <c r="H123" i="12"/>
  <c r="AS122" i="12"/>
  <c r="AR122" i="12"/>
  <c r="AQ122" i="12"/>
  <c r="AP122" i="12"/>
  <c r="AO122" i="12"/>
  <c r="AN122" i="12"/>
  <c r="AM122" i="12"/>
  <c r="AL122" i="12"/>
  <c r="AK122" i="12"/>
  <c r="AJ122" i="12"/>
  <c r="AI122" i="12"/>
  <c r="AH122" i="12"/>
  <c r="AG122" i="12"/>
  <c r="I122" i="12"/>
  <c r="H122" i="12"/>
  <c r="I121" i="12"/>
  <c r="H121" i="12"/>
  <c r="AS120" i="12"/>
  <c r="AR120" i="12"/>
  <c r="AQ120" i="12"/>
  <c r="AP120" i="12"/>
  <c r="AO120" i="12"/>
  <c r="AN120" i="12"/>
  <c r="AM120" i="12"/>
  <c r="AL120" i="12"/>
  <c r="AK120" i="12"/>
  <c r="AJ120" i="12"/>
  <c r="AI120" i="12"/>
  <c r="AH120" i="12"/>
  <c r="AG120" i="12"/>
  <c r="AF120" i="12"/>
  <c r="B97" i="12"/>
  <c r="X96" i="12"/>
  <c r="T96" i="12"/>
  <c r="H96" i="12"/>
  <c r="G96" i="12"/>
  <c r="F96" i="12"/>
  <c r="D96" i="12"/>
  <c r="B96" i="12"/>
  <c r="O95" i="12"/>
  <c r="O96" i="12" s="1"/>
  <c r="O97" i="12" s="1"/>
  <c r="O98" i="12" s="1"/>
  <c r="O99" i="12" s="1"/>
  <c r="O100" i="12" s="1"/>
  <c r="O101" i="12" s="1"/>
  <c r="O102" i="12" s="1"/>
  <c r="O103" i="12" s="1"/>
  <c r="O104" i="12" s="1"/>
  <c r="O105" i="12" s="1"/>
  <c r="O106" i="12" s="1"/>
  <c r="O107" i="12" s="1"/>
  <c r="O108" i="12" s="1"/>
  <c r="H95" i="12"/>
  <c r="F95" i="12"/>
  <c r="D95" i="12"/>
  <c r="C95" i="12"/>
  <c r="B95" i="12"/>
  <c r="U95" i="12" s="1"/>
  <c r="Z94" i="12"/>
  <c r="Y94" i="12"/>
  <c r="X94" i="12"/>
  <c r="W94" i="12"/>
  <c r="V94" i="12"/>
  <c r="U94" i="12"/>
  <c r="T94" i="12"/>
  <c r="S94" i="12"/>
  <c r="R94" i="12"/>
  <c r="Q94" i="12"/>
  <c r="P94" i="12"/>
  <c r="M94" i="12"/>
  <c r="L94" i="12"/>
  <c r="K94" i="12"/>
  <c r="J94" i="12"/>
  <c r="I94" i="12"/>
  <c r="H94" i="12"/>
  <c r="G94" i="12"/>
  <c r="F94" i="12"/>
  <c r="E94" i="12"/>
  <c r="D94" i="12"/>
  <c r="C94" i="12"/>
  <c r="O84" i="12"/>
  <c r="O85" i="12" s="1"/>
  <c r="O86" i="12" s="1"/>
  <c r="O87" i="12" s="1"/>
  <c r="O88" i="12" s="1"/>
  <c r="O89" i="12" s="1"/>
  <c r="O90" i="12" s="1"/>
  <c r="F78" i="12"/>
  <c r="B78" i="12"/>
  <c r="X77" i="12"/>
  <c r="U77" i="12"/>
  <c r="Q77" i="12"/>
  <c r="O77" i="12"/>
  <c r="O78" i="12" s="1"/>
  <c r="O79" i="12" s="1"/>
  <c r="O80" i="12" s="1"/>
  <c r="O81" i="12" s="1"/>
  <c r="O82" i="12" s="1"/>
  <c r="O83" i="12" s="1"/>
  <c r="M77" i="12"/>
  <c r="L77" i="12"/>
  <c r="K77" i="12"/>
  <c r="J77" i="12"/>
  <c r="I77" i="12"/>
  <c r="H77" i="12"/>
  <c r="F77" i="12"/>
  <c r="B77" i="12"/>
  <c r="Y77" i="12" s="1"/>
  <c r="Z76" i="12"/>
  <c r="Y76" i="12"/>
  <c r="X76" i="12"/>
  <c r="W76" i="12"/>
  <c r="V76" i="12"/>
  <c r="U76" i="12"/>
  <c r="T76" i="12"/>
  <c r="S76" i="12"/>
  <c r="R76" i="12"/>
  <c r="Q76" i="12"/>
  <c r="P76" i="12"/>
  <c r="M76" i="12"/>
  <c r="L76" i="12"/>
  <c r="K76" i="12"/>
  <c r="J76" i="12"/>
  <c r="I76" i="12"/>
  <c r="H76" i="12"/>
  <c r="G76" i="12"/>
  <c r="F76" i="12"/>
  <c r="E76" i="12"/>
  <c r="D76" i="12"/>
  <c r="C76" i="12"/>
  <c r="Y59" i="12"/>
  <c r="W59" i="12"/>
  <c r="T59" i="12"/>
  <c r="R59" i="12"/>
  <c r="Q59" i="12"/>
  <c r="O59" i="12"/>
  <c r="O60" i="12" s="1"/>
  <c r="O61" i="12" s="1"/>
  <c r="O62" i="12" s="1"/>
  <c r="O63" i="12" s="1"/>
  <c r="O64" i="12" s="1"/>
  <c r="O65" i="12" s="1"/>
  <c r="O66" i="12" s="1"/>
  <c r="O67" i="12" s="1"/>
  <c r="O68" i="12" s="1"/>
  <c r="O69" i="12" s="1"/>
  <c r="O70" i="12" s="1"/>
  <c r="O71" i="12" s="1"/>
  <c r="O72" i="12" s="1"/>
  <c r="M59" i="12"/>
  <c r="J59" i="12"/>
  <c r="H59" i="12"/>
  <c r="G59" i="12"/>
  <c r="F59" i="12"/>
  <c r="E59" i="12"/>
  <c r="D59" i="12"/>
  <c r="B59" i="12"/>
  <c r="S59" i="12" s="1"/>
  <c r="Z58" i="12"/>
  <c r="Y58" i="12"/>
  <c r="X58" i="12"/>
  <c r="W58" i="12"/>
  <c r="V58" i="12"/>
  <c r="U58" i="12"/>
  <c r="T58" i="12"/>
  <c r="S58" i="12"/>
  <c r="R58" i="12"/>
  <c r="Q58" i="12"/>
  <c r="P58" i="12"/>
  <c r="M58" i="12"/>
  <c r="L58" i="12"/>
  <c r="K58" i="12"/>
  <c r="J58" i="12"/>
  <c r="I58" i="12"/>
  <c r="H58" i="12"/>
  <c r="G58" i="12"/>
  <c r="F58" i="12"/>
  <c r="E58" i="12"/>
  <c r="D58" i="12"/>
  <c r="C58" i="12"/>
  <c r="O42" i="12"/>
  <c r="O43" i="12" s="1"/>
  <c r="O44" i="12" s="1"/>
  <c r="O45" i="12" s="1"/>
  <c r="O46" i="12" s="1"/>
  <c r="O47" i="12" s="1"/>
  <c r="O48" i="12" s="1"/>
  <c r="O49" i="12" s="1"/>
  <c r="O50" i="12" s="1"/>
  <c r="O51" i="12" s="1"/>
  <c r="O52" i="12" s="1"/>
  <c r="O53" i="12" s="1"/>
  <c r="O54" i="12" s="1"/>
  <c r="O41" i="12"/>
  <c r="B41" i="12"/>
  <c r="Z40" i="12"/>
  <c r="Y40" i="12"/>
  <c r="X40" i="12"/>
  <c r="W40" i="12"/>
  <c r="V40" i="12"/>
  <c r="U40" i="12"/>
  <c r="T40" i="12"/>
  <c r="S40" i="12"/>
  <c r="R40" i="12"/>
  <c r="Q40" i="12"/>
  <c r="P40" i="12"/>
  <c r="M40" i="12"/>
  <c r="L40" i="12"/>
  <c r="K40" i="12"/>
  <c r="J40" i="12"/>
  <c r="I40" i="12"/>
  <c r="H40" i="12"/>
  <c r="G40" i="12"/>
  <c r="F40" i="12"/>
  <c r="E40" i="12"/>
  <c r="D40" i="12"/>
  <c r="C40" i="12"/>
  <c r="B31" i="12"/>
  <c r="C30" i="12"/>
  <c r="B30" i="12"/>
  <c r="C29" i="12"/>
  <c r="B29" i="12"/>
  <c r="C28" i="12"/>
  <c r="B28" i="12"/>
  <c r="C21" i="12"/>
  <c r="C22" i="12" s="1"/>
  <c r="C18" i="12"/>
  <c r="C19" i="12" s="1"/>
  <c r="C20" i="12" s="1"/>
  <c r="Q10" i="12"/>
  <c r="Q9" i="12"/>
  <c r="B9" i="12"/>
  <c r="R71" i="11"/>
  <c r="M67" i="11"/>
  <c r="M65" i="11"/>
  <c r="P63" i="11"/>
  <c r="AC62" i="11"/>
  <c r="AB62" i="11"/>
  <c r="Y62" i="11"/>
  <c r="X62" i="11"/>
  <c r="P62" i="11"/>
  <c r="AC61" i="11"/>
  <c r="Y61" i="11"/>
  <c r="X61" i="11"/>
  <c r="AC60" i="11"/>
  <c r="AB60" i="11"/>
  <c r="Y60" i="11"/>
  <c r="X60" i="11"/>
  <c r="AC59" i="11"/>
  <c r="Y59" i="11"/>
  <c r="X59" i="11"/>
  <c r="AB59" i="11" s="1"/>
  <c r="AC58" i="11"/>
  <c r="Y58" i="11"/>
  <c r="X58" i="11"/>
  <c r="AB58" i="11" s="1"/>
  <c r="AH54" i="11"/>
  <c r="AF54" i="11"/>
  <c r="AE54" i="11"/>
  <c r="AD54" i="11"/>
  <c r="AC54" i="11"/>
  <c r="AB54" i="11"/>
  <c r="AA54" i="11"/>
  <c r="Z54" i="11"/>
  <c r="Y54" i="11"/>
  <c r="X54" i="11"/>
  <c r="W54" i="11"/>
  <c r="E54" i="11"/>
  <c r="D54" i="11"/>
  <c r="AH53" i="11"/>
  <c r="AF53" i="11"/>
  <c r="AC53" i="11"/>
  <c r="AE53" i="11" s="1"/>
  <c r="AB53" i="11"/>
  <c r="AD53" i="11" s="1"/>
  <c r="AA53" i="11"/>
  <c r="Z53" i="11"/>
  <c r="Y53" i="11"/>
  <c r="X53" i="11"/>
  <c r="W53" i="11"/>
  <c r="AH52" i="11"/>
  <c r="AF52" i="11"/>
  <c r="AD52" i="11"/>
  <c r="AC52" i="11"/>
  <c r="AE52" i="11" s="1"/>
  <c r="AB52" i="11"/>
  <c r="AA52" i="11"/>
  <c r="Z52" i="11"/>
  <c r="Y52" i="11"/>
  <c r="X52" i="11"/>
  <c r="W52" i="11"/>
  <c r="AH51" i="11"/>
  <c r="AF51" i="11"/>
  <c r="AE51" i="11"/>
  <c r="AD51" i="11"/>
  <c r="AC51" i="11"/>
  <c r="AB51" i="11"/>
  <c r="AA51" i="11"/>
  <c r="Z51" i="11"/>
  <c r="Y51" i="11"/>
  <c r="X51" i="11"/>
  <c r="W51" i="11"/>
  <c r="AH50" i="11"/>
  <c r="AF50" i="11"/>
  <c r="AE50" i="11"/>
  <c r="AC50" i="11"/>
  <c r="AB50" i="11"/>
  <c r="AD50" i="11" s="1"/>
  <c r="AA50" i="11"/>
  <c r="Z50" i="11"/>
  <c r="Y50" i="11"/>
  <c r="X50" i="11"/>
  <c r="W50" i="11"/>
  <c r="AF47" i="11"/>
  <c r="AB47" i="11"/>
  <c r="Z47" i="11"/>
  <c r="Y47" i="11"/>
  <c r="X47" i="11"/>
  <c r="W47" i="11"/>
  <c r="E47" i="11"/>
  <c r="D47" i="11"/>
  <c r="AF46" i="11"/>
  <c r="AE46" i="11"/>
  <c r="AG46" i="11" s="1"/>
  <c r="AD46" i="11"/>
  <c r="AC46" i="11"/>
  <c r="AB46" i="11"/>
  <c r="Z46" i="11"/>
  <c r="Y46" i="11"/>
  <c r="X46" i="11"/>
  <c r="W46" i="11"/>
  <c r="AF45" i="11"/>
  <c r="Z45" i="11"/>
  <c r="Y45" i="11"/>
  <c r="X45" i="11"/>
  <c r="AB45" i="11" s="1"/>
  <c r="W45" i="11"/>
  <c r="AG44" i="11"/>
  <c r="AF44" i="11"/>
  <c r="AC44" i="11"/>
  <c r="AE44" i="11" s="1"/>
  <c r="Z44" i="11"/>
  <c r="Y44" i="11"/>
  <c r="X44" i="11"/>
  <c r="AB44" i="11" s="1"/>
  <c r="AD44" i="11" s="1"/>
  <c r="W44" i="11"/>
  <c r="AF43" i="11"/>
  <c r="AB43" i="11"/>
  <c r="Z43" i="11"/>
  <c r="Y43" i="11"/>
  <c r="X43" i="11"/>
  <c r="W43" i="11"/>
  <c r="AF42" i="11"/>
  <c r="Z42" i="11"/>
  <c r="Y42" i="11"/>
  <c r="X42" i="11"/>
  <c r="AB42" i="11" s="1"/>
  <c r="W42" i="11"/>
  <c r="AF41" i="11"/>
  <c r="AB41" i="11"/>
  <c r="Z41" i="11"/>
  <c r="Y41" i="11"/>
  <c r="X41" i="11"/>
  <c r="W41" i="11"/>
  <c r="F36" i="11"/>
  <c r="G60" i="11" s="1"/>
  <c r="C36" i="11"/>
  <c r="K33" i="11"/>
  <c r="C33" i="11"/>
  <c r="N32" i="11"/>
  <c r="M32" i="11"/>
  <c r="X31" i="11"/>
  <c r="X30" i="11"/>
  <c r="X29" i="11"/>
  <c r="E29" i="11"/>
  <c r="D29" i="11"/>
  <c r="Y28" i="11"/>
  <c r="X28" i="11"/>
  <c r="W28" i="11"/>
  <c r="Y27" i="11"/>
  <c r="X27" i="11"/>
  <c r="W27" i="11"/>
  <c r="Z26" i="11"/>
  <c r="Y26" i="11"/>
  <c r="X26" i="11"/>
  <c r="W26" i="11"/>
  <c r="Z25" i="11"/>
  <c r="Y25" i="11"/>
  <c r="X25" i="11"/>
  <c r="W25" i="11"/>
  <c r="Z24" i="11"/>
  <c r="Y24" i="11"/>
  <c r="X24" i="11"/>
  <c r="W24" i="11"/>
  <c r="Z23" i="11"/>
  <c r="Y23" i="11"/>
  <c r="X23" i="11"/>
  <c r="W23" i="11"/>
  <c r="F29" i="11" s="1"/>
  <c r="E22" i="11"/>
  <c r="D4" i="11"/>
  <c r="G2" i="11"/>
  <c r="M45" i="10"/>
  <c r="L45" i="10"/>
  <c r="F41" i="10"/>
  <c r="D41" i="10"/>
  <c r="Q26" i="10" s="1"/>
  <c r="C41" i="10"/>
  <c r="M40" i="10"/>
  <c r="L40" i="10"/>
  <c r="G40" i="10"/>
  <c r="E40" i="10"/>
  <c r="M39" i="10"/>
  <c r="L39" i="10"/>
  <c r="G39" i="10"/>
  <c r="E39" i="10"/>
  <c r="M38" i="10"/>
  <c r="L38" i="10"/>
  <c r="G38" i="10"/>
  <c r="E38" i="10"/>
  <c r="M37" i="10"/>
  <c r="M41" i="10" s="1"/>
  <c r="L37" i="10"/>
  <c r="L41" i="10" s="1"/>
  <c r="G37" i="10"/>
  <c r="E37" i="10"/>
  <c r="G36" i="10"/>
  <c r="E36" i="10"/>
  <c r="M34" i="10"/>
  <c r="L34" i="10"/>
  <c r="G34" i="10"/>
  <c r="F34" i="10"/>
  <c r="E34" i="10"/>
  <c r="D34" i="10"/>
  <c r="C34" i="10"/>
  <c r="M33" i="10"/>
  <c r="L33" i="10"/>
  <c r="G33" i="10"/>
  <c r="E33" i="10"/>
  <c r="M32" i="10"/>
  <c r="L32" i="10"/>
  <c r="G32" i="10"/>
  <c r="E32" i="10"/>
  <c r="G31" i="10"/>
  <c r="E31" i="10"/>
  <c r="R28" i="10"/>
  <c r="P28" i="10"/>
  <c r="M28" i="10"/>
  <c r="L28" i="10"/>
  <c r="G28" i="10"/>
  <c r="E28" i="10"/>
  <c r="F27" i="10"/>
  <c r="F29" i="10" s="1"/>
  <c r="E27" i="10"/>
  <c r="D27" i="10"/>
  <c r="C27" i="10"/>
  <c r="C29" i="10" s="1"/>
  <c r="R26" i="10"/>
  <c r="G26" i="10"/>
  <c r="E26" i="10"/>
  <c r="G25" i="10"/>
  <c r="E25" i="10"/>
  <c r="G24" i="10"/>
  <c r="E24" i="10"/>
  <c r="Q22" i="10"/>
  <c r="P22" i="10"/>
  <c r="M22" i="10"/>
  <c r="L22" i="10"/>
  <c r="F22" i="10"/>
  <c r="D22" i="10"/>
  <c r="Q28" i="10" s="1"/>
  <c r="C22" i="10"/>
  <c r="E22" i="10" s="1"/>
  <c r="P21" i="10"/>
  <c r="G21" i="10"/>
  <c r="E21" i="10"/>
  <c r="P20" i="10"/>
  <c r="P24" i="10" s="1"/>
  <c r="M20" i="10"/>
  <c r="L20" i="10"/>
  <c r="G20" i="10"/>
  <c r="E20" i="10"/>
  <c r="M19" i="10"/>
  <c r="L19" i="10"/>
  <c r="G19" i="10"/>
  <c r="E19" i="10"/>
  <c r="R18" i="10"/>
  <c r="Q18" i="10"/>
  <c r="P18" i="10"/>
  <c r="M18" i="10"/>
  <c r="L18" i="10"/>
  <c r="G18" i="10"/>
  <c r="E18" i="10"/>
  <c r="G17" i="10"/>
  <c r="E17" i="10"/>
  <c r="R16" i="10"/>
  <c r="Q16" i="10"/>
  <c r="P16" i="10"/>
  <c r="M16" i="10"/>
  <c r="M25" i="10" s="1"/>
  <c r="M29" i="10" s="1"/>
  <c r="M15" i="10"/>
  <c r="L15" i="10"/>
  <c r="R14" i="10"/>
  <c r="Q14" i="10"/>
  <c r="P14" i="10"/>
  <c r="M14" i="10"/>
  <c r="L14" i="10"/>
  <c r="F14" i="10"/>
  <c r="E14" i="10"/>
  <c r="D14" i="10"/>
  <c r="G14" i="10" s="1"/>
  <c r="C14" i="10"/>
  <c r="M13" i="10"/>
  <c r="L13" i="10"/>
  <c r="Q21" i="10" s="1"/>
  <c r="G13" i="10"/>
  <c r="E13" i="10"/>
  <c r="R12" i="10"/>
  <c r="Q12" i="10"/>
  <c r="P12" i="10"/>
  <c r="G12" i="10"/>
  <c r="E12" i="10"/>
  <c r="M11" i="10"/>
  <c r="L11" i="10"/>
  <c r="G11" i="10"/>
  <c r="E11" i="10"/>
  <c r="R10" i="10"/>
  <c r="Q10" i="10"/>
  <c r="M10" i="10"/>
  <c r="R20" i="10" s="1"/>
  <c r="R24" i="10" s="1"/>
  <c r="L10" i="10"/>
  <c r="G10" i="10"/>
  <c r="E10" i="10"/>
  <c r="R7" i="10"/>
  <c r="P7" i="10"/>
  <c r="M7" i="10"/>
  <c r="L7" i="10"/>
  <c r="AF40" i="9"/>
  <c r="AD40" i="9"/>
  <c r="X40" i="9"/>
  <c r="V40" i="9"/>
  <c r="P40" i="9"/>
  <c r="N40" i="9"/>
  <c r="H40" i="9"/>
  <c r="F40" i="9"/>
  <c r="AF39" i="9"/>
  <c r="AD39" i="9"/>
  <c r="X39" i="9"/>
  <c r="V39" i="9"/>
  <c r="P39" i="9"/>
  <c r="N39" i="9"/>
  <c r="H39" i="9"/>
  <c r="F39" i="9"/>
  <c r="AF38" i="9"/>
  <c r="AD38" i="9"/>
  <c r="X38" i="9"/>
  <c r="V38" i="9"/>
  <c r="P38" i="9"/>
  <c r="N38" i="9"/>
  <c r="H38" i="9"/>
  <c r="F38" i="9"/>
  <c r="AF37" i="9"/>
  <c r="AD37" i="9"/>
  <c r="X37" i="9"/>
  <c r="V37" i="9"/>
  <c r="P37" i="9"/>
  <c r="N37" i="9"/>
  <c r="H37" i="9"/>
  <c r="F37" i="9"/>
  <c r="AF36" i="9"/>
  <c r="AD36" i="9"/>
  <c r="X36" i="9"/>
  <c r="V36" i="9"/>
  <c r="P36" i="9"/>
  <c r="N36" i="9"/>
  <c r="H36" i="9"/>
  <c r="F36" i="9"/>
  <c r="AF35" i="9"/>
  <c r="AD35" i="9"/>
  <c r="X35" i="9"/>
  <c r="V35" i="9"/>
  <c r="P35" i="9"/>
  <c r="N35" i="9"/>
  <c r="H35" i="9"/>
  <c r="F35" i="9"/>
  <c r="AF34" i="9"/>
  <c r="AD34" i="9"/>
  <c r="X34" i="9"/>
  <c r="V34" i="9"/>
  <c r="P34" i="9"/>
  <c r="N34" i="9"/>
  <c r="H34" i="9"/>
  <c r="F34" i="9"/>
  <c r="V31" i="9"/>
  <c r="AF29" i="9"/>
  <c r="AD29" i="9"/>
  <c r="X29" i="9"/>
  <c r="V29" i="9"/>
  <c r="P29" i="9"/>
  <c r="N29" i="9"/>
  <c r="H29" i="9"/>
  <c r="F29" i="9"/>
  <c r="AF28" i="9"/>
  <c r="AD28" i="9"/>
  <c r="X28" i="9"/>
  <c r="V28" i="9"/>
  <c r="P28" i="9"/>
  <c r="N28" i="9"/>
  <c r="H28" i="9"/>
  <c r="F28" i="9"/>
  <c r="AF27" i="9"/>
  <c r="AD27" i="9"/>
  <c r="X27" i="9"/>
  <c r="V27" i="9"/>
  <c r="P27" i="9"/>
  <c r="N27" i="9"/>
  <c r="H27" i="9"/>
  <c r="F27" i="9"/>
  <c r="AF26" i="9"/>
  <c r="AD26" i="9"/>
  <c r="X26" i="9"/>
  <c r="V26" i="9"/>
  <c r="P26" i="9"/>
  <c r="N26" i="9"/>
  <c r="H26" i="9"/>
  <c r="F26" i="9"/>
  <c r="AF25" i="9"/>
  <c r="AD25" i="9"/>
  <c r="X25" i="9"/>
  <c r="V25" i="9"/>
  <c r="P25" i="9"/>
  <c r="N25" i="9"/>
  <c r="H25" i="9"/>
  <c r="F25" i="9"/>
  <c r="AF24" i="9"/>
  <c r="AD24" i="9"/>
  <c r="X24" i="9"/>
  <c r="V24" i="9"/>
  <c r="P24" i="9"/>
  <c r="N24" i="9"/>
  <c r="H24" i="9"/>
  <c r="F24" i="9"/>
  <c r="V21" i="9"/>
  <c r="T21" i="9"/>
  <c r="T31" i="9" s="1"/>
  <c r="T41" i="9" s="1"/>
  <c r="V41" i="9" s="1"/>
  <c r="O21" i="9"/>
  <c r="O31" i="9" s="1"/>
  <c r="O41" i="9" s="1"/>
  <c r="AF19" i="9"/>
  <c r="AD19" i="9"/>
  <c r="X19" i="9"/>
  <c r="V19" i="9"/>
  <c r="P19" i="9"/>
  <c r="N19" i="9"/>
  <c r="H19" i="9"/>
  <c r="F19" i="9"/>
  <c r="AF17" i="9"/>
  <c r="AE17" i="9"/>
  <c r="AE21" i="9" s="1"/>
  <c r="AE31" i="9" s="1"/>
  <c r="AE41" i="9" s="1"/>
  <c r="AC17" i="9"/>
  <c r="AC21" i="9" s="1"/>
  <c r="AB17" i="9"/>
  <c r="AD17" i="9" s="1"/>
  <c r="W17" i="9"/>
  <c r="W21" i="9" s="1"/>
  <c r="W31" i="9" s="1"/>
  <c r="W41" i="9" s="1"/>
  <c r="U17" i="9"/>
  <c r="X17" i="9" s="1"/>
  <c r="T17" i="9"/>
  <c r="V17" i="9" s="1"/>
  <c r="O17" i="9"/>
  <c r="N17" i="9"/>
  <c r="M17" i="9"/>
  <c r="L17" i="9"/>
  <c r="L21" i="9" s="1"/>
  <c r="G17" i="9"/>
  <c r="G21" i="9" s="1"/>
  <c r="G31" i="9" s="1"/>
  <c r="G41" i="9" s="1"/>
  <c r="E17" i="9"/>
  <c r="H17" i="9" s="1"/>
  <c r="D17" i="9"/>
  <c r="F17" i="9" s="1"/>
  <c r="AF15" i="9"/>
  <c r="AD15" i="9"/>
  <c r="X15" i="9"/>
  <c r="V15" i="9"/>
  <c r="P15" i="9"/>
  <c r="N15" i="9"/>
  <c r="H15" i="9"/>
  <c r="F15" i="9"/>
  <c r="AF14" i="9"/>
  <c r="AD14" i="9"/>
  <c r="X14" i="9"/>
  <c r="V14" i="9"/>
  <c r="P14" i="9"/>
  <c r="N14" i="9"/>
  <c r="H14" i="9"/>
  <c r="F14" i="9"/>
  <c r="AF13" i="9"/>
  <c r="AD13" i="9"/>
  <c r="X13" i="9"/>
  <c r="V13" i="9"/>
  <c r="P13" i="9"/>
  <c r="N13" i="9"/>
  <c r="H13" i="9"/>
  <c r="F13" i="9"/>
  <c r="AF10" i="9"/>
  <c r="AD10" i="9"/>
  <c r="X10" i="9"/>
  <c r="V10" i="9"/>
  <c r="P10" i="9"/>
  <c r="N10" i="9"/>
  <c r="H10" i="9"/>
  <c r="F10" i="9"/>
  <c r="O41" i="8"/>
  <c r="AF40" i="8"/>
  <c r="AD40" i="8"/>
  <c r="X40" i="8"/>
  <c r="V40" i="8"/>
  <c r="P40" i="8"/>
  <c r="N40" i="8"/>
  <c r="H40" i="8"/>
  <c r="F40" i="8"/>
  <c r="AF39" i="8"/>
  <c r="AD39" i="8"/>
  <c r="X39" i="8"/>
  <c r="V39" i="8"/>
  <c r="P39" i="8"/>
  <c r="N39" i="8"/>
  <c r="H39" i="8"/>
  <c r="F39" i="8"/>
  <c r="AF38" i="8"/>
  <c r="AD38" i="8"/>
  <c r="X38" i="8"/>
  <c r="V38" i="8"/>
  <c r="P38" i="8"/>
  <c r="N38" i="8"/>
  <c r="H38" i="8"/>
  <c r="F38" i="8"/>
  <c r="AF37" i="8"/>
  <c r="AD37" i="8"/>
  <c r="X37" i="8"/>
  <c r="V37" i="8"/>
  <c r="P37" i="8"/>
  <c r="N37" i="8"/>
  <c r="H37" i="8"/>
  <c r="F37" i="8"/>
  <c r="AF36" i="8"/>
  <c r="AD36" i="8"/>
  <c r="X36" i="8"/>
  <c r="V36" i="8"/>
  <c r="P36" i="8"/>
  <c r="N36" i="8"/>
  <c r="H36" i="8"/>
  <c r="F36" i="8"/>
  <c r="AF35" i="8"/>
  <c r="AD35" i="8"/>
  <c r="X35" i="8"/>
  <c r="V35" i="8"/>
  <c r="P35" i="8"/>
  <c r="N35" i="8"/>
  <c r="H35" i="8"/>
  <c r="F35" i="8"/>
  <c r="AF34" i="8"/>
  <c r="AD34" i="8"/>
  <c r="X34" i="8"/>
  <c r="V34" i="8"/>
  <c r="P34" i="8"/>
  <c r="N34" i="8"/>
  <c r="H34" i="8"/>
  <c r="F34" i="8"/>
  <c r="AE31" i="8"/>
  <c r="AE41" i="8" s="1"/>
  <c r="AF29" i="8"/>
  <c r="AD29" i="8"/>
  <c r="X29" i="8"/>
  <c r="V29" i="8"/>
  <c r="P29" i="8"/>
  <c r="N29" i="8"/>
  <c r="H29" i="8"/>
  <c r="F29" i="8"/>
  <c r="AF28" i="8"/>
  <c r="AD28" i="8"/>
  <c r="X28" i="8"/>
  <c r="V28" i="8"/>
  <c r="P28" i="8"/>
  <c r="N28" i="8"/>
  <c r="H28" i="8"/>
  <c r="F28" i="8"/>
  <c r="AF27" i="8"/>
  <c r="AD27" i="8"/>
  <c r="X27" i="8"/>
  <c r="V27" i="8"/>
  <c r="P27" i="8"/>
  <c r="N27" i="8"/>
  <c r="H27" i="8"/>
  <c r="F27" i="8"/>
  <c r="AF26" i="8"/>
  <c r="AD26" i="8"/>
  <c r="X26" i="8"/>
  <c r="V26" i="8"/>
  <c r="P26" i="8"/>
  <c r="N26" i="8"/>
  <c r="H26" i="8"/>
  <c r="F26" i="8"/>
  <c r="AF25" i="8"/>
  <c r="AD25" i="8"/>
  <c r="X25" i="8"/>
  <c r="V25" i="8"/>
  <c r="P25" i="8"/>
  <c r="N25" i="8"/>
  <c r="H25" i="8"/>
  <c r="F25" i="8"/>
  <c r="AF24" i="8"/>
  <c r="AD24" i="8"/>
  <c r="X24" i="8"/>
  <c r="V24" i="8"/>
  <c r="P24" i="8"/>
  <c r="N24" i="8"/>
  <c r="H24" i="8"/>
  <c r="F24" i="8"/>
  <c r="G21" i="8"/>
  <c r="G31" i="8" s="1"/>
  <c r="G41" i="8" s="1"/>
  <c r="E21" i="8"/>
  <c r="D21" i="8"/>
  <c r="AF19" i="8"/>
  <c r="AD19" i="8"/>
  <c r="X19" i="8"/>
  <c r="V19" i="8"/>
  <c r="P19" i="8"/>
  <c r="N19" i="8"/>
  <c r="H19" i="8"/>
  <c r="F19" i="8"/>
  <c r="AE17" i="8"/>
  <c r="AE21" i="8" s="1"/>
  <c r="AC17" i="8"/>
  <c r="AC21" i="8" s="1"/>
  <c r="AB17" i="8"/>
  <c r="X17" i="8"/>
  <c r="W17" i="8"/>
  <c r="W21" i="8" s="1"/>
  <c r="W31" i="8" s="1"/>
  <c r="W41" i="8" s="1"/>
  <c r="V17" i="8"/>
  <c r="U17" i="8"/>
  <c r="U21" i="8" s="1"/>
  <c r="T17" i="8"/>
  <c r="T21" i="8" s="1"/>
  <c r="O17" i="8"/>
  <c r="O21" i="8" s="1"/>
  <c r="O31" i="8" s="1"/>
  <c r="M17" i="8"/>
  <c r="P17" i="8" s="1"/>
  <c r="L17" i="8"/>
  <c r="N17" i="8" s="1"/>
  <c r="G17" i="8"/>
  <c r="E17" i="8"/>
  <c r="H17" i="8" s="1"/>
  <c r="D17" i="8"/>
  <c r="F17" i="8" s="1"/>
  <c r="AF15" i="8"/>
  <c r="AD15" i="8"/>
  <c r="X15" i="8"/>
  <c r="V15" i="8"/>
  <c r="P15" i="8"/>
  <c r="N15" i="8"/>
  <c r="H15" i="8"/>
  <c r="F15" i="8"/>
  <c r="AF14" i="8"/>
  <c r="AD14" i="8"/>
  <c r="X14" i="8"/>
  <c r="V14" i="8"/>
  <c r="P14" i="8"/>
  <c r="N14" i="8"/>
  <c r="H14" i="8"/>
  <c r="F14" i="8"/>
  <c r="AF13" i="8"/>
  <c r="AD13" i="8"/>
  <c r="X13" i="8"/>
  <c r="V13" i="8"/>
  <c r="P13" i="8"/>
  <c r="N13" i="8"/>
  <c r="H13" i="8"/>
  <c r="F13" i="8"/>
  <c r="AF10" i="8"/>
  <c r="AD10" i="8"/>
  <c r="X10" i="8"/>
  <c r="V10" i="8"/>
  <c r="P10" i="8"/>
  <c r="N10" i="8"/>
  <c r="H10" i="8"/>
  <c r="F10" i="8"/>
  <c r="AF40" i="7"/>
  <c r="AD40" i="7"/>
  <c r="X40" i="7"/>
  <c r="V40" i="7"/>
  <c r="P40" i="7"/>
  <c r="N40" i="7"/>
  <c r="H40" i="7"/>
  <c r="F40" i="7"/>
  <c r="AF39" i="7"/>
  <c r="AD39" i="7"/>
  <c r="X39" i="7"/>
  <c r="V39" i="7"/>
  <c r="P39" i="7"/>
  <c r="N39" i="7"/>
  <c r="H39" i="7"/>
  <c r="F39" i="7"/>
  <c r="AF38" i="7"/>
  <c r="AD38" i="7"/>
  <c r="X38" i="7"/>
  <c r="V38" i="7"/>
  <c r="P38" i="7"/>
  <c r="N38" i="7"/>
  <c r="H38" i="7"/>
  <c r="F38" i="7"/>
  <c r="AF37" i="7"/>
  <c r="AD37" i="7"/>
  <c r="X37" i="7"/>
  <c r="V37" i="7"/>
  <c r="P37" i="7"/>
  <c r="N37" i="7"/>
  <c r="H37" i="7"/>
  <c r="F37" i="7"/>
  <c r="AF36" i="7"/>
  <c r="AD36" i="7"/>
  <c r="X36" i="7"/>
  <c r="V36" i="7"/>
  <c r="P36" i="7"/>
  <c r="N36" i="7"/>
  <c r="H36" i="7"/>
  <c r="F36" i="7"/>
  <c r="AF35" i="7"/>
  <c r="AD35" i="7"/>
  <c r="X35" i="7"/>
  <c r="V35" i="7"/>
  <c r="P35" i="7"/>
  <c r="N35" i="7"/>
  <c r="H35" i="7"/>
  <c r="F35" i="7"/>
  <c r="AF34" i="7"/>
  <c r="AD34" i="7"/>
  <c r="X34" i="7"/>
  <c r="V34" i="7"/>
  <c r="P34" i="7"/>
  <c r="N34" i="7"/>
  <c r="H34" i="7"/>
  <c r="F34" i="7"/>
  <c r="D31" i="7"/>
  <c r="AF29" i="7"/>
  <c r="AD29" i="7"/>
  <c r="X29" i="7"/>
  <c r="V29" i="7"/>
  <c r="P29" i="7"/>
  <c r="N29" i="7"/>
  <c r="H29" i="7"/>
  <c r="F29" i="7"/>
  <c r="AF28" i="7"/>
  <c r="AD28" i="7"/>
  <c r="X28" i="7"/>
  <c r="V28" i="7"/>
  <c r="P28" i="7"/>
  <c r="N28" i="7"/>
  <c r="H28" i="7"/>
  <c r="F28" i="7"/>
  <c r="AF27" i="7"/>
  <c r="AD27" i="7"/>
  <c r="X27" i="7"/>
  <c r="V27" i="7"/>
  <c r="P27" i="7"/>
  <c r="N27" i="7"/>
  <c r="H27" i="7"/>
  <c r="F27" i="7"/>
  <c r="AF26" i="7"/>
  <c r="AD26" i="7"/>
  <c r="X26" i="7"/>
  <c r="V26" i="7"/>
  <c r="P26" i="7"/>
  <c r="N26" i="7"/>
  <c r="H26" i="7"/>
  <c r="F26" i="7"/>
  <c r="AF25" i="7"/>
  <c r="AD25" i="7"/>
  <c r="X25" i="7"/>
  <c r="V25" i="7"/>
  <c r="P25" i="7"/>
  <c r="N25" i="7"/>
  <c r="H25" i="7"/>
  <c r="F25" i="7"/>
  <c r="AF24" i="7"/>
  <c r="AD24" i="7"/>
  <c r="X24" i="7"/>
  <c r="V24" i="7"/>
  <c r="P24" i="7"/>
  <c r="N24" i="7"/>
  <c r="H24" i="7"/>
  <c r="F24" i="7"/>
  <c r="O21" i="7"/>
  <c r="O31" i="7" s="1"/>
  <c r="O41" i="7" s="1"/>
  <c r="M21" i="7"/>
  <c r="L21" i="7"/>
  <c r="AF19" i="7"/>
  <c r="AD19" i="7"/>
  <c r="X19" i="7"/>
  <c r="V19" i="7"/>
  <c r="P19" i="7"/>
  <c r="N19" i="7"/>
  <c r="H19" i="7"/>
  <c r="F19" i="7"/>
  <c r="AF17" i="7"/>
  <c r="AE17" i="7"/>
  <c r="AE21" i="7" s="1"/>
  <c r="AE31" i="7" s="1"/>
  <c r="AE41" i="7" s="1"/>
  <c r="AC17" i="7"/>
  <c r="AC21" i="7" s="1"/>
  <c r="AB17" i="7"/>
  <c r="AD17" i="7" s="1"/>
  <c r="W17" i="7"/>
  <c r="W21" i="7" s="1"/>
  <c r="W31" i="7" s="1"/>
  <c r="W41" i="7" s="1"/>
  <c r="V17" i="7"/>
  <c r="U17" i="7"/>
  <c r="X17" i="7" s="1"/>
  <c r="T17" i="7"/>
  <c r="T21" i="7" s="1"/>
  <c r="O17" i="7"/>
  <c r="N17" i="7"/>
  <c r="M17" i="7"/>
  <c r="P17" i="7" s="1"/>
  <c r="L17" i="7"/>
  <c r="G17" i="7"/>
  <c r="G21" i="7" s="1"/>
  <c r="G31" i="7" s="1"/>
  <c r="G41" i="7" s="1"/>
  <c r="F17" i="7"/>
  <c r="E17" i="7"/>
  <c r="H17" i="7" s="1"/>
  <c r="D17" i="7"/>
  <c r="D21" i="7" s="1"/>
  <c r="F21" i="7" s="1"/>
  <c r="AF15" i="7"/>
  <c r="AD15" i="7"/>
  <c r="X15" i="7"/>
  <c r="V15" i="7"/>
  <c r="P15" i="7"/>
  <c r="N15" i="7"/>
  <c r="H15" i="7"/>
  <c r="F15" i="7"/>
  <c r="AF14" i="7"/>
  <c r="AD14" i="7"/>
  <c r="X14" i="7"/>
  <c r="V14" i="7"/>
  <c r="P14" i="7"/>
  <c r="N14" i="7"/>
  <c r="H14" i="7"/>
  <c r="F14" i="7"/>
  <c r="AF13" i="7"/>
  <c r="AD13" i="7"/>
  <c r="X13" i="7"/>
  <c r="V13" i="7"/>
  <c r="P13" i="7"/>
  <c r="N13" i="7"/>
  <c r="H13" i="7"/>
  <c r="F13" i="7"/>
  <c r="AF10" i="7"/>
  <c r="AD10" i="7"/>
  <c r="X10" i="7"/>
  <c r="V10" i="7"/>
  <c r="P10" i="7"/>
  <c r="N10" i="7"/>
  <c r="H10" i="7"/>
  <c r="F10" i="7"/>
  <c r="AF40" i="6"/>
  <c r="AD40" i="6"/>
  <c r="X40" i="6"/>
  <c r="V40" i="6"/>
  <c r="P40" i="6"/>
  <c r="N40" i="6"/>
  <c r="H40" i="6"/>
  <c r="F40" i="6"/>
  <c r="AF39" i="6"/>
  <c r="AD39" i="6"/>
  <c r="X39" i="6"/>
  <c r="V39" i="6"/>
  <c r="P39" i="6"/>
  <c r="N39" i="6"/>
  <c r="H39" i="6"/>
  <c r="F39" i="6"/>
  <c r="AF38" i="6"/>
  <c r="AD38" i="6"/>
  <c r="X38" i="6"/>
  <c r="V38" i="6"/>
  <c r="P38" i="6"/>
  <c r="N38" i="6"/>
  <c r="H38" i="6"/>
  <c r="F38" i="6"/>
  <c r="AF37" i="6"/>
  <c r="AD37" i="6"/>
  <c r="X37" i="6"/>
  <c r="V37" i="6"/>
  <c r="P37" i="6"/>
  <c r="N37" i="6"/>
  <c r="H37" i="6"/>
  <c r="F37" i="6"/>
  <c r="AF36" i="6"/>
  <c r="AD36" i="6"/>
  <c r="X36" i="6"/>
  <c r="V36" i="6"/>
  <c r="P36" i="6"/>
  <c r="N36" i="6"/>
  <c r="H36" i="6"/>
  <c r="F36" i="6"/>
  <c r="AF35" i="6"/>
  <c r="AD35" i="6"/>
  <c r="X35" i="6"/>
  <c r="V35" i="6"/>
  <c r="P35" i="6"/>
  <c r="N35" i="6"/>
  <c r="H35" i="6"/>
  <c r="F35" i="6"/>
  <c r="AF34" i="6"/>
  <c r="AD34" i="6"/>
  <c r="X34" i="6"/>
  <c r="V34" i="6"/>
  <c r="P34" i="6"/>
  <c r="N34" i="6"/>
  <c r="H34" i="6"/>
  <c r="F34" i="6"/>
  <c r="AE31" i="6"/>
  <c r="AE41" i="6" s="1"/>
  <c r="L31" i="6"/>
  <c r="AF29" i="6"/>
  <c r="AD29" i="6"/>
  <c r="X29" i="6"/>
  <c r="V29" i="6"/>
  <c r="P29" i="6"/>
  <c r="N29" i="6"/>
  <c r="H29" i="6"/>
  <c r="F29" i="6"/>
  <c r="AF28" i="6"/>
  <c r="AD28" i="6"/>
  <c r="X28" i="6"/>
  <c r="V28" i="6"/>
  <c r="P28" i="6"/>
  <c r="N28" i="6"/>
  <c r="H28" i="6"/>
  <c r="F28" i="6"/>
  <c r="AF27" i="6"/>
  <c r="AD27" i="6"/>
  <c r="X27" i="6"/>
  <c r="V27" i="6"/>
  <c r="P27" i="6"/>
  <c r="N27" i="6"/>
  <c r="H27" i="6"/>
  <c r="F27" i="6"/>
  <c r="AF26" i="6"/>
  <c r="AD26" i="6"/>
  <c r="X26" i="6"/>
  <c r="V26" i="6"/>
  <c r="P26" i="6"/>
  <c r="N26" i="6"/>
  <c r="H26" i="6"/>
  <c r="F26" i="6"/>
  <c r="AF25" i="6"/>
  <c r="AD25" i="6"/>
  <c r="X25" i="6"/>
  <c r="V25" i="6"/>
  <c r="P25" i="6"/>
  <c r="N25" i="6"/>
  <c r="H25" i="6"/>
  <c r="F25" i="6"/>
  <c r="AF24" i="6"/>
  <c r="AD24" i="6"/>
  <c r="X24" i="6"/>
  <c r="V24" i="6"/>
  <c r="P24" i="6"/>
  <c r="N24" i="6"/>
  <c r="H24" i="6"/>
  <c r="F24" i="6"/>
  <c r="AC21" i="6"/>
  <c r="AF21" i="6" s="1"/>
  <c r="L21" i="6"/>
  <c r="N21" i="6" s="1"/>
  <c r="E21" i="6"/>
  <c r="AF19" i="6"/>
  <c r="AD19" i="6"/>
  <c r="X19" i="6"/>
  <c r="V19" i="6"/>
  <c r="P19" i="6"/>
  <c r="N19" i="6"/>
  <c r="H19" i="6"/>
  <c r="F19" i="6"/>
  <c r="AF17" i="6"/>
  <c r="AE17" i="6"/>
  <c r="AE21" i="6" s="1"/>
  <c r="AC17" i="6"/>
  <c r="AB17" i="6"/>
  <c r="AD17" i="6" s="1"/>
  <c r="X17" i="6"/>
  <c r="W17" i="6"/>
  <c r="W21" i="6" s="1"/>
  <c r="W31" i="6" s="1"/>
  <c r="W41" i="6" s="1"/>
  <c r="V17" i="6"/>
  <c r="U17" i="6"/>
  <c r="U21" i="6" s="1"/>
  <c r="T17" i="6"/>
  <c r="T21" i="6" s="1"/>
  <c r="P17" i="6"/>
  <c r="O17" i="6"/>
  <c r="O21" i="6" s="1"/>
  <c r="O31" i="6" s="1"/>
  <c r="O41" i="6" s="1"/>
  <c r="M17" i="6"/>
  <c r="M21" i="6" s="1"/>
  <c r="L17" i="6"/>
  <c r="N17" i="6" s="1"/>
  <c r="G17" i="6"/>
  <c r="G21" i="6" s="1"/>
  <c r="G31" i="6" s="1"/>
  <c r="E17" i="6"/>
  <c r="H17" i="6" s="1"/>
  <c r="D17" i="6"/>
  <c r="P10" i="10" s="1"/>
  <c r="AF15" i="6"/>
  <c r="AD15" i="6"/>
  <c r="X15" i="6"/>
  <c r="V15" i="6"/>
  <c r="P15" i="6"/>
  <c r="N15" i="6"/>
  <c r="H15" i="6"/>
  <c r="F15" i="6"/>
  <c r="AF14" i="6"/>
  <c r="AD14" i="6"/>
  <c r="X14" i="6"/>
  <c r="V14" i="6"/>
  <c r="P14" i="6"/>
  <c r="N14" i="6"/>
  <c r="H14" i="6"/>
  <c r="F14" i="6"/>
  <c r="AF13" i="6"/>
  <c r="AD13" i="6"/>
  <c r="X13" i="6"/>
  <c r="V13" i="6"/>
  <c r="P13" i="6"/>
  <c r="N13" i="6"/>
  <c r="H13" i="6"/>
  <c r="F13" i="6"/>
  <c r="AF10" i="6"/>
  <c r="AD10" i="6"/>
  <c r="X10" i="6"/>
  <c r="V10" i="6"/>
  <c r="P10" i="6"/>
  <c r="N10" i="6"/>
  <c r="H10" i="6"/>
  <c r="F10" i="6"/>
  <c r="O8" i="6"/>
  <c r="W8" i="6" s="1"/>
  <c r="AE8" i="6" s="1"/>
  <c r="G8" i="6"/>
  <c r="M30" i="5"/>
  <c r="L30" i="5"/>
  <c r="K30" i="5"/>
  <c r="J30" i="5"/>
  <c r="I30" i="5"/>
  <c r="H30" i="5"/>
  <c r="G30" i="5"/>
  <c r="F30" i="5"/>
  <c r="F31" i="5" s="1"/>
  <c r="E30" i="5"/>
  <c r="E31" i="5" s="1"/>
  <c r="D30" i="5"/>
  <c r="D31" i="5" s="1"/>
  <c r="C29" i="5"/>
  <c r="B29" i="5"/>
  <c r="A29" i="5"/>
  <c r="C28" i="5"/>
  <c r="B28" i="5"/>
  <c r="A28" i="5"/>
  <c r="C27" i="5"/>
  <c r="B27" i="5"/>
  <c r="A27" i="5"/>
  <c r="C26" i="5"/>
  <c r="B26" i="5"/>
  <c r="A26" i="5"/>
  <c r="C25" i="5"/>
  <c r="B25" i="5"/>
  <c r="A25" i="5"/>
  <c r="C24" i="5"/>
  <c r="B24" i="5"/>
  <c r="A24" i="5"/>
  <c r="C23" i="5"/>
  <c r="B23" i="5"/>
  <c r="A23" i="5"/>
  <c r="C22" i="5"/>
  <c r="B22" i="5"/>
  <c r="A22" i="5"/>
  <c r="C21" i="5"/>
  <c r="B21" i="5"/>
  <c r="A21" i="5"/>
  <c r="C20" i="5"/>
  <c r="B20" i="5"/>
  <c r="A20" i="5"/>
  <c r="C19" i="5"/>
  <c r="B19" i="5"/>
  <c r="A19" i="5"/>
  <c r="C18" i="5"/>
  <c r="B18" i="5"/>
  <c r="A18" i="5"/>
  <c r="F17" i="5"/>
  <c r="E17" i="5"/>
  <c r="D17" i="5"/>
  <c r="F16" i="5"/>
  <c r="E16" i="5"/>
  <c r="D16" i="5"/>
  <c r="F15" i="5"/>
  <c r="F44" i="5" s="1"/>
  <c r="E15" i="5"/>
  <c r="E12" i="5"/>
  <c r="E11" i="5"/>
  <c r="A11" i="5"/>
  <c r="A12" i="5" s="1"/>
  <c r="E10" i="5"/>
  <c r="E9" i="5"/>
  <c r="E8" i="5"/>
  <c r="E7" i="5"/>
  <c r="E6" i="5"/>
  <c r="A6" i="5"/>
  <c r="A7" i="5" s="1"/>
  <c r="A8" i="5" s="1"/>
  <c r="A9" i="5" s="1"/>
  <c r="A10" i="5" s="1"/>
  <c r="E5" i="5"/>
  <c r="E4" i="5"/>
  <c r="A4" i="5"/>
  <c r="A5" i="5" s="1"/>
  <c r="O3" i="5"/>
  <c r="R3" i="5" s="1"/>
  <c r="K3" i="5"/>
  <c r="E3" i="5"/>
  <c r="D44" i="5" s="1"/>
  <c r="E1" i="5"/>
  <c r="AA247" i="4" a="1"/>
  <c r="AA247" i="4" s="1"/>
  <c r="AA246" i="4" a="1"/>
  <c r="AA246" i="4" s="1"/>
  <c r="AA245" i="4"/>
  <c r="AA245" i="4" a="1"/>
  <c r="AA244" i="4"/>
  <c r="AA244" i="4" a="1"/>
  <c r="AA243" i="4"/>
  <c r="AA243" i="4" a="1"/>
  <c r="AA242" i="4"/>
  <c r="AA242" i="4" a="1"/>
  <c r="AA241" i="4"/>
  <c r="AA241" i="4" a="1"/>
  <c r="AA240" i="4"/>
  <c r="AA240" i="4" a="1"/>
  <c r="AA239" i="4"/>
  <c r="AA239" i="4" a="1"/>
  <c r="AA238" i="4" a="1"/>
  <c r="AA238" i="4" s="1"/>
  <c r="AA237" i="4"/>
  <c r="AA237" i="4" a="1"/>
  <c r="AA236" i="4"/>
  <c r="AA236" i="4" a="1"/>
  <c r="AA235" i="4"/>
  <c r="AA235" i="4" a="1"/>
  <c r="AA234" i="4" a="1"/>
  <c r="AA234" i="4" s="1"/>
  <c r="AA233" i="4"/>
  <c r="AA233" i="4" a="1"/>
  <c r="AA232" i="4" a="1"/>
  <c r="AA232" i="4" s="1"/>
  <c r="AA231" i="4"/>
  <c r="AA231" i="4" a="1"/>
  <c r="AA230" i="4" a="1"/>
  <c r="AA230" i="4" s="1"/>
  <c r="AA229" i="4"/>
  <c r="AA229" i="4" a="1"/>
  <c r="A229" i="4"/>
  <c r="AA228" i="4"/>
  <c r="AA228" i="4" a="1"/>
  <c r="R228" i="4" a="1"/>
  <c r="R228" i="4" s="1"/>
  <c r="AE228" i="4" s="1" a="1"/>
  <c r="AE228" i="4" s="1"/>
  <c r="P228" i="4" a="1"/>
  <c r="P228" i="4" s="1"/>
  <c r="AC228" i="4" s="1" a="1"/>
  <c r="AC228" i="4" s="1"/>
  <c r="O228" i="4"/>
  <c r="E228" i="4" a="1"/>
  <c r="E228" i="4" s="1"/>
  <c r="D228" i="4"/>
  <c r="Q228" i="4" s="1" a="1"/>
  <c r="Q228" i="4" s="1"/>
  <c r="AD228" i="4" s="1" a="1"/>
  <c r="AD228" i="4" s="1"/>
  <c r="C228" i="4" a="1"/>
  <c r="C228" i="4" s="1"/>
  <c r="B228" i="4" a="1"/>
  <c r="B228" i="4" s="1"/>
  <c r="O228" i="4" s="1" a="1"/>
  <c r="AB227" i="4"/>
  <c r="AC227" i="4" s="1"/>
  <c r="AD227" i="4" s="1"/>
  <c r="AE227" i="4" s="1"/>
  <c r="AF227" i="4" s="1"/>
  <c r="AG227" i="4" s="1"/>
  <c r="AH227" i="4" s="1"/>
  <c r="U227" i="4"/>
  <c r="V227" i="4" s="1"/>
  <c r="W227" i="4" s="1"/>
  <c r="X227" i="4" s="1"/>
  <c r="Y227" i="4" s="1"/>
  <c r="Z227" i="4" s="1"/>
  <c r="AA227" i="4" s="1"/>
  <c r="S227" i="4"/>
  <c r="T227" i="4" s="1"/>
  <c r="Q227" i="4"/>
  <c r="R227" i="4" s="1"/>
  <c r="P227" i="4"/>
  <c r="F227" i="4"/>
  <c r="E227" i="4"/>
  <c r="D227" i="4"/>
  <c r="D228" i="4" s="1" a="1"/>
  <c r="C227" i="4"/>
  <c r="A224" i="4"/>
  <c r="A223" i="4"/>
  <c r="B222" i="4"/>
  <c r="O222" i="4" s="1" a="1"/>
  <c r="O222" i="4" s="1"/>
  <c r="B222" i="4" a="1"/>
  <c r="P221" i="4"/>
  <c r="Q221" i="4" s="1"/>
  <c r="R221" i="4" s="1"/>
  <c r="S221" i="4" s="1"/>
  <c r="T221" i="4" s="1"/>
  <c r="U221" i="4" s="1"/>
  <c r="V221" i="4" s="1"/>
  <c r="W221" i="4" s="1"/>
  <c r="X221" i="4" s="1"/>
  <c r="C221" i="4"/>
  <c r="A207" i="4"/>
  <c r="A208" i="4" s="1"/>
  <c r="A209" i="4" s="1"/>
  <c r="A210" i="4" s="1"/>
  <c r="A211" i="4" s="1"/>
  <c r="A212" i="4" s="1"/>
  <c r="A213" i="4" s="1"/>
  <c r="A214" i="4" s="1"/>
  <c r="A215" i="4" s="1"/>
  <c r="A216" i="4" s="1"/>
  <c r="A217" i="4" s="1"/>
  <c r="Y205" i="4"/>
  <c r="X205" i="4"/>
  <c r="W205" i="4"/>
  <c r="V205" i="4"/>
  <c r="U205" i="4"/>
  <c r="T205" i="4"/>
  <c r="S205" i="4"/>
  <c r="R205" i="4"/>
  <c r="Q205" i="4"/>
  <c r="P205" i="4"/>
  <c r="O205" i="4"/>
  <c r="N205" i="4"/>
  <c r="M205" i="4"/>
  <c r="L205" i="4"/>
  <c r="K205" i="4"/>
  <c r="J205" i="4"/>
  <c r="I205" i="4"/>
  <c r="H205" i="4"/>
  <c r="G205" i="4"/>
  <c r="F205" i="4"/>
  <c r="E205" i="4"/>
  <c r="D205" i="4"/>
  <c r="C205" i="4"/>
  <c r="B205" i="4"/>
  <c r="A200" i="4"/>
  <c r="A201" i="4" s="1"/>
  <c r="A202" i="4" s="1"/>
  <c r="A193" i="4"/>
  <c r="A194" i="4" s="1"/>
  <c r="A195" i="4" s="1"/>
  <c r="A196" i="4" s="1"/>
  <c r="A197" i="4" s="1"/>
  <c r="A198" i="4" s="1"/>
  <c r="A199" i="4" s="1"/>
  <c r="A192" i="4"/>
  <c r="A177" i="4"/>
  <c r="A178" i="4" s="1"/>
  <c r="A179" i="4" s="1"/>
  <c r="A180" i="4" s="1"/>
  <c r="A181" i="4" s="1"/>
  <c r="A182" i="4" s="1"/>
  <c r="A183" i="4" s="1"/>
  <c r="A184" i="4" s="1"/>
  <c r="A185" i="4" s="1"/>
  <c r="A186" i="4" s="1"/>
  <c r="A187" i="4" s="1"/>
  <c r="A163" i="4"/>
  <c r="A164" i="4" s="1"/>
  <c r="A165" i="4" s="1"/>
  <c r="A166" i="4" s="1"/>
  <c r="A167" i="4" s="1"/>
  <c r="A168" i="4" s="1"/>
  <c r="A169" i="4" s="1"/>
  <c r="A170" i="4" s="1"/>
  <c r="A171" i="4" s="1"/>
  <c r="A172" i="4" s="1"/>
  <c r="A162" i="4"/>
  <c r="F158" i="4"/>
  <c r="B158" i="4"/>
  <c r="F157" i="4"/>
  <c r="B157" i="4"/>
  <c r="F156" i="4"/>
  <c r="B156" i="4"/>
  <c r="F155" i="4"/>
  <c r="C155" i="4"/>
  <c r="B155" i="4"/>
  <c r="F154" i="4"/>
  <c r="B154" i="4"/>
  <c r="F153" i="4"/>
  <c r="B153" i="4"/>
  <c r="F152" i="4"/>
  <c r="C152" i="4"/>
  <c r="B152" i="4"/>
  <c r="A152" i="4"/>
  <c r="A153" i="4" s="1"/>
  <c r="A154" i="4" s="1"/>
  <c r="A155" i="4" s="1"/>
  <c r="A156" i="4" s="1"/>
  <c r="A157" i="4" s="1"/>
  <c r="A158" i="4" s="1"/>
  <c r="F151" i="4"/>
  <c r="B151" i="4"/>
  <c r="F150" i="4"/>
  <c r="B150" i="4"/>
  <c r="F149" i="4"/>
  <c r="B149" i="4"/>
  <c r="A149" i="4"/>
  <c r="A150" i="4" s="1"/>
  <c r="A151" i="4" s="1"/>
  <c r="G148" i="4"/>
  <c r="F148" i="4"/>
  <c r="B148" i="4"/>
  <c r="A148" i="4"/>
  <c r="F147" i="4"/>
  <c r="B147" i="4"/>
  <c r="G145" i="4"/>
  <c r="F145" i="4"/>
  <c r="B145" i="4"/>
  <c r="G144" i="4"/>
  <c r="G147" i="4" s="1"/>
  <c r="A134" i="4"/>
  <c r="B132" i="4"/>
  <c r="A131" i="4"/>
  <c r="A132" i="4" s="1"/>
  <c r="A133" i="4" s="1"/>
  <c r="B133" i="4" s="1"/>
  <c r="B130" i="4"/>
  <c r="D128" i="4"/>
  <c r="B128" i="4"/>
  <c r="B126" i="4" a="1"/>
  <c r="B126" i="4" s="1"/>
  <c r="B125" i="4"/>
  <c r="D124" i="4"/>
  <c r="C124" i="4"/>
  <c r="E109" i="4"/>
  <c r="D109" i="4"/>
  <c r="C109" i="4"/>
  <c r="B109" i="4"/>
  <c r="C108" i="4"/>
  <c r="E108" i="4" s="1"/>
  <c r="B108" i="4"/>
  <c r="D108" i="4" s="1"/>
  <c r="C107" i="4"/>
  <c r="E107" i="4" s="1"/>
  <c r="B107" i="4"/>
  <c r="D107" i="4" s="1"/>
  <c r="C106" i="4"/>
  <c r="E106" i="4" s="1"/>
  <c r="B106" i="4"/>
  <c r="D106" i="4" s="1"/>
  <c r="B100" i="4" a="1"/>
  <c r="B100" i="4" s="1"/>
  <c r="C98" i="4"/>
  <c r="B98" i="4"/>
  <c r="B96" i="4"/>
  <c r="B93" i="4"/>
  <c r="C92" i="4"/>
  <c r="B91" i="4"/>
  <c r="B89" i="4"/>
  <c r="B88" i="4"/>
  <c r="B99" i="4" s="1"/>
  <c r="B86" i="4"/>
  <c r="B97" i="4" s="1"/>
  <c r="B85" i="4"/>
  <c r="B84" i="4"/>
  <c r="B95" i="4" s="1"/>
  <c r="B82" i="4"/>
  <c r="B81" i="4"/>
  <c r="B79" i="4"/>
  <c r="B90" i="4" s="1"/>
  <c r="C78" i="4"/>
  <c r="C88" i="4" s="1"/>
  <c r="C99" i="4" s="1"/>
  <c r="B78" i="4"/>
  <c r="D77" i="4"/>
  <c r="D87" i="4" s="1"/>
  <c r="C77" i="4"/>
  <c r="C87" i="4" s="1"/>
  <c r="B77" i="4"/>
  <c r="B87" i="4" s="1"/>
  <c r="B76" i="4"/>
  <c r="D75" i="4"/>
  <c r="B75" i="4"/>
  <c r="C74" i="4"/>
  <c r="C84" i="4" s="1"/>
  <c r="C95" i="4" s="1"/>
  <c r="B74" i="4"/>
  <c r="B73" i="4"/>
  <c r="B83" i="4" s="1"/>
  <c r="B94" i="4" s="1"/>
  <c r="B72" i="4"/>
  <c r="B71" i="4"/>
  <c r="B92" i="4" s="1"/>
  <c r="C70" i="4"/>
  <c r="C80" i="4" s="1"/>
  <c r="C91" i="4" s="1"/>
  <c r="B70" i="4"/>
  <c r="B80" i="4" s="1"/>
  <c r="D69" i="4"/>
  <c r="D79" i="4" s="1"/>
  <c r="D90" i="4" s="1"/>
  <c r="B69" i="4"/>
  <c r="C67" i="4"/>
  <c r="C68" i="4" s="1"/>
  <c r="B67" i="4"/>
  <c r="B68" i="4" s="1"/>
  <c r="B66" i="4"/>
  <c r="D65" i="4"/>
  <c r="C65" i="4"/>
  <c r="B65" i="4"/>
  <c r="B64" i="4"/>
  <c r="D63" i="4"/>
  <c r="B63" i="4"/>
  <c r="B62" i="4"/>
  <c r="D61" i="4"/>
  <c r="D62" i="4" s="1"/>
  <c r="C61" i="4"/>
  <c r="C71" i="4" s="1"/>
  <c r="C81" i="4" s="1"/>
  <c r="B60" i="4" a="1"/>
  <c r="B60" i="4" s="1"/>
  <c r="B59" i="4"/>
  <c r="B58" i="4"/>
  <c r="B57" i="4"/>
  <c r="B56" i="4"/>
  <c r="B54" i="4"/>
  <c r="B55" i="4" s="1"/>
  <c r="B53" i="4"/>
  <c r="B52" i="4"/>
  <c r="B51" i="4"/>
  <c r="B50" i="4"/>
  <c r="B49" i="4"/>
  <c r="C48" i="4"/>
  <c r="E42" i="4"/>
  <c r="D42" i="4"/>
  <c r="W41" i="4"/>
  <c r="V41" i="4"/>
  <c r="U41" i="4"/>
  <c r="T41" i="4"/>
  <c r="S41" i="4"/>
  <c r="R41" i="4"/>
  <c r="Q41" i="4"/>
  <c r="P41" i="4"/>
  <c r="O41" i="4"/>
  <c r="N41" i="4"/>
  <c r="M41" i="4"/>
  <c r="L41" i="4"/>
  <c r="K41" i="4"/>
  <c r="J41" i="4"/>
  <c r="I41" i="4"/>
  <c r="H41" i="4"/>
  <c r="G41" i="4"/>
  <c r="F41" i="4"/>
  <c r="E41" i="4"/>
  <c r="D41" i="4"/>
  <c r="C40" i="4"/>
  <c r="B40" i="4"/>
  <c r="A40" i="4"/>
  <c r="C39" i="4"/>
  <c r="B39" i="4"/>
  <c r="A39" i="4"/>
  <c r="C38" i="4"/>
  <c r="B38" i="4"/>
  <c r="A38" i="4"/>
  <c r="C37" i="4"/>
  <c r="B37" i="4"/>
  <c r="A37" i="4"/>
  <c r="C36" i="4"/>
  <c r="B36" i="4"/>
  <c r="A36" i="4"/>
  <c r="C35" i="4"/>
  <c r="B35" i="4"/>
  <c r="A35" i="4"/>
  <c r="C34" i="4"/>
  <c r="B34" i="4"/>
  <c r="A34" i="4"/>
  <c r="C33" i="4"/>
  <c r="B33" i="4"/>
  <c r="A33" i="4"/>
  <c r="C32" i="4"/>
  <c r="B32" i="4"/>
  <c r="A32" i="4"/>
  <c r="C31" i="4"/>
  <c r="B31" i="4"/>
  <c r="A31" i="4"/>
  <c r="C30" i="4"/>
  <c r="B30" i="4"/>
  <c r="A30" i="4"/>
  <c r="C29" i="4"/>
  <c r="B29" i="4"/>
  <c r="A29" i="4"/>
  <c r="E28" i="4"/>
  <c r="D28" i="4"/>
  <c r="F27" i="4"/>
  <c r="E27" i="4"/>
  <c r="D27" i="4"/>
  <c r="G26" i="4"/>
  <c r="E26" i="4"/>
  <c r="F26" i="4" s="1"/>
  <c r="E25" i="4"/>
  <c r="D25" i="4"/>
  <c r="G24" i="4"/>
  <c r="F24" i="4"/>
  <c r="E24" i="4"/>
  <c r="D24" i="4"/>
  <c r="G11" i="4"/>
  <c r="F11" i="4"/>
  <c r="E11" i="4"/>
  <c r="D11" i="4"/>
  <c r="M8" i="4"/>
  <c r="M9" i="4" s="1"/>
  <c r="M10" i="4" s="1"/>
  <c r="M11" i="4" s="1"/>
  <c r="M12" i="4" s="1"/>
  <c r="M13" i="4" s="1"/>
  <c r="M14" i="4" s="1"/>
  <c r="M15" i="4" s="1"/>
  <c r="M16" i="4" s="1"/>
  <c r="M17" i="4" s="1"/>
  <c r="M18" i="4" s="1"/>
  <c r="M19" i="4" s="1"/>
  <c r="M20" i="4" s="1"/>
  <c r="M21" i="4" s="1"/>
  <c r="M22" i="4" s="1"/>
  <c r="M23" i="4" s="1"/>
  <c r="G8" i="4"/>
  <c r="M6" i="4"/>
  <c r="M7" i="4" s="1"/>
  <c r="A6" i="4"/>
  <c r="M5" i="4"/>
  <c r="F229" i="4" s="1" a="1"/>
  <c r="F229" i="4" s="1"/>
  <c r="S229" i="4" s="1" a="1"/>
  <c r="S229" i="4" s="1"/>
  <c r="AF229" i="4" s="1" a="1"/>
  <c r="AF229" i="4" s="1"/>
  <c r="A5" i="4"/>
  <c r="B103" i="3"/>
  <c r="B104" i="3" s="1"/>
  <c r="C104" i="3" s="1"/>
  <c r="D102" i="3"/>
  <c r="C102" i="3"/>
  <c r="E101" i="3"/>
  <c r="D101" i="3"/>
  <c r="C98" i="3"/>
  <c r="C97" i="3"/>
  <c r="B97" i="3"/>
  <c r="B98" i="3" s="1"/>
  <c r="B96" i="3"/>
  <c r="C96" i="3" s="1"/>
  <c r="C95" i="3"/>
  <c r="D94" i="3"/>
  <c r="B90" i="3"/>
  <c r="B91" i="3" s="1"/>
  <c r="D89" i="3"/>
  <c r="B89" i="3"/>
  <c r="C89" i="3" s="1"/>
  <c r="D88" i="3"/>
  <c r="C88" i="3"/>
  <c r="D87" i="3"/>
  <c r="E87" i="3" s="1"/>
  <c r="B82" i="3"/>
  <c r="C81" i="3"/>
  <c r="D80" i="3"/>
  <c r="C76" i="3"/>
  <c r="B76" i="3"/>
  <c r="C75" i="3"/>
  <c r="B75" i="3"/>
  <c r="D75" i="3" s="1"/>
  <c r="E74" i="3"/>
  <c r="C74" i="3"/>
  <c r="E73" i="3"/>
  <c r="D73" i="3"/>
  <c r="D74" i="3" s="1"/>
  <c r="G68" i="3"/>
  <c r="G67" i="3"/>
  <c r="F67" i="3"/>
  <c r="E67" i="3"/>
  <c r="D67" i="3"/>
  <c r="C67" i="3"/>
  <c r="G66" i="3"/>
  <c r="F66" i="3"/>
  <c r="E66" i="3"/>
  <c r="D66" i="3"/>
  <c r="C66" i="3"/>
  <c r="G65" i="3"/>
  <c r="F65" i="3"/>
  <c r="E65" i="3"/>
  <c r="D65" i="3"/>
  <c r="C65" i="3"/>
  <c r="G64" i="3"/>
  <c r="F64" i="3"/>
  <c r="E64" i="3"/>
  <c r="D64" i="3"/>
  <c r="C64" i="3"/>
  <c r="G63" i="3"/>
  <c r="F63" i="3"/>
  <c r="E63" i="3"/>
  <c r="D63" i="3"/>
  <c r="C63" i="3"/>
  <c r="G62" i="3"/>
  <c r="F62" i="3"/>
  <c r="E62" i="3"/>
  <c r="D62" i="3"/>
  <c r="C62" i="3"/>
  <c r="G61" i="3"/>
  <c r="F61" i="3"/>
  <c r="E61" i="3"/>
  <c r="D61" i="3"/>
  <c r="C61" i="3"/>
  <c r="G60" i="3"/>
  <c r="F60" i="3"/>
  <c r="E60" i="3"/>
  <c r="D35" i="3" s="1"/>
  <c r="D36" i="3" s="1"/>
  <c r="D60" i="3"/>
  <c r="C60" i="3"/>
  <c r="G59" i="3"/>
  <c r="F59" i="3"/>
  <c r="E59" i="3"/>
  <c r="D59" i="3"/>
  <c r="C59" i="3"/>
  <c r="G58" i="3"/>
  <c r="F58" i="3"/>
  <c r="E58" i="3"/>
  <c r="D58" i="3"/>
  <c r="C58" i="3"/>
  <c r="G57" i="3"/>
  <c r="C27" i="3" s="1"/>
  <c r="F57" i="3"/>
  <c r="E57" i="3"/>
  <c r="D57" i="3"/>
  <c r="C57" i="3"/>
  <c r="B57" i="3"/>
  <c r="B58" i="3" s="1"/>
  <c r="B59" i="3" s="1"/>
  <c r="B60" i="3" s="1"/>
  <c r="B61" i="3" s="1"/>
  <c r="B62" i="3" s="1"/>
  <c r="B63" i="3" s="1"/>
  <c r="B64" i="3" s="1"/>
  <c r="B65" i="3" s="1"/>
  <c r="B66" i="3" s="1"/>
  <c r="B67" i="3" s="1"/>
  <c r="G56" i="3"/>
  <c r="F56" i="3"/>
  <c r="E56" i="3"/>
  <c r="D56" i="3"/>
  <c r="C56" i="3"/>
  <c r="A39" i="3"/>
  <c r="A38" i="3"/>
  <c r="E35" i="3"/>
  <c r="E36" i="3" s="1"/>
  <c r="H34" i="3"/>
  <c r="E34" i="3"/>
  <c r="D34" i="3"/>
  <c r="I33" i="3"/>
  <c r="E33" i="3"/>
  <c r="F33" i="3" s="1"/>
  <c r="A29" i="3"/>
  <c r="A28" i="3"/>
  <c r="B27" i="3"/>
  <c r="I25" i="3"/>
  <c r="D5" i="7" s="1"/>
  <c r="N24" i="3"/>
  <c r="M24" i="3"/>
  <c r="I24" i="3"/>
  <c r="E24" i="3"/>
  <c r="N23" i="3"/>
  <c r="O23" i="3" s="1"/>
  <c r="O24" i="3" s="1"/>
  <c r="J23" i="3"/>
  <c r="F23" i="3"/>
  <c r="G23" i="3" s="1"/>
  <c r="G20" i="3"/>
  <c r="Q56" i="2" s="1"/>
  <c r="G19" i="3"/>
  <c r="G18" i="3"/>
  <c r="B10" i="3"/>
  <c r="K7" i="3"/>
  <c r="H6" i="3"/>
  <c r="A1" i="3"/>
  <c r="R70" i="11" s="1"/>
  <c r="B91" i="2"/>
  <c r="D79" i="2"/>
  <c r="D78" i="2"/>
  <c r="D77" i="2"/>
  <c r="A77" i="2"/>
  <c r="D76" i="2"/>
  <c r="D72" i="2"/>
  <c r="D71" i="2"/>
  <c r="D70" i="2"/>
  <c r="A70" i="2"/>
  <c r="D69" i="2"/>
  <c r="AR65" i="2"/>
  <c r="AQ65" i="2"/>
  <c r="AP65" i="2"/>
  <c r="AO65" i="2"/>
  <c r="AN65" i="2"/>
  <c r="AM65" i="2"/>
  <c r="AL65" i="2"/>
  <c r="AK65" i="2"/>
  <c r="D65" i="2"/>
  <c r="AR64" i="2"/>
  <c r="AQ64" i="2"/>
  <c r="AP64" i="2"/>
  <c r="AO64" i="2"/>
  <c r="AN64" i="2"/>
  <c r="AM64" i="2"/>
  <c r="AL64" i="2"/>
  <c r="AK64" i="2"/>
  <c r="D64" i="2"/>
  <c r="A64" i="2"/>
  <c r="A65" i="2" s="1"/>
  <c r="AR63" i="2"/>
  <c r="AQ63" i="2"/>
  <c r="AP63" i="2"/>
  <c r="AO63" i="2"/>
  <c r="AN63" i="2"/>
  <c r="AM63" i="2"/>
  <c r="AL63" i="2"/>
  <c r="AK63" i="2"/>
  <c r="D63" i="2"/>
  <c r="A63" i="2"/>
  <c r="AR62" i="2"/>
  <c r="AQ62" i="2"/>
  <c r="AP62" i="2"/>
  <c r="AO62" i="2"/>
  <c r="AN62" i="2"/>
  <c r="AM62" i="2"/>
  <c r="AL62" i="2"/>
  <c r="AK62" i="2"/>
  <c r="AR58" i="2"/>
  <c r="AQ58" i="2"/>
  <c r="AP58" i="2"/>
  <c r="AO58" i="2"/>
  <c r="AN58" i="2"/>
  <c r="AM58" i="2"/>
  <c r="AL58" i="2"/>
  <c r="AK58" i="2"/>
  <c r="Z58" i="2"/>
  <c r="I58" i="2"/>
  <c r="D58" i="2"/>
  <c r="AR57" i="2"/>
  <c r="AQ57" i="2"/>
  <c r="AP57" i="2"/>
  <c r="AO57" i="2"/>
  <c r="AN57" i="2"/>
  <c r="AM57" i="2"/>
  <c r="AL57" i="2"/>
  <c r="AK57" i="2"/>
  <c r="AE57" i="2"/>
  <c r="Z57" i="2"/>
  <c r="I57" i="2"/>
  <c r="D57" i="2"/>
  <c r="AR56" i="2"/>
  <c r="AQ56" i="2"/>
  <c r="AP56" i="2"/>
  <c r="AO56" i="2"/>
  <c r="AN56" i="2"/>
  <c r="AM56" i="2"/>
  <c r="AL56" i="2"/>
  <c r="AK56" i="2"/>
  <c r="AA56" i="2"/>
  <c r="Z56" i="2"/>
  <c r="I56" i="2"/>
  <c r="D56" i="2"/>
  <c r="A56" i="2"/>
  <c r="A57" i="2" s="1"/>
  <c r="A58" i="2" s="1"/>
  <c r="AR55" i="2"/>
  <c r="AQ55" i="2"/>
  <c r="AP55" i="2"/>
  <c r="AO55" i="2"/>
  <c r="AN55" i="2"/>
  <c r="AM55" i="2"/>
  <c r="AL55" i="2"/>
  <c r="AK55" i="2"/>
  <c r="Z55" i="2"/>
  <c r="AD57" i="2" s="1"/>
  <c r="I55" i="2"/>
  <c r="D55" i="2"/>
  <c r="Q34" i="2"/>
  <c r="C34" i="2"/>
  <c r="G34" i="2" s="1"/>
  <c r="B34" i="2"/>
  <c r="Q33" i="2"/>
  <c r="G33" i="2"/>
  <c r="D33" i="2"/>
  <c r="C33" i="2"/>
  <c r="B33" i="2"/>
  <c r="G32" i="2"/>
  <c r="C32" i="2"/>
  <c r="D32" i="2" s="1"/>
  <c r="B32" i="2"/>
  <c r="Q31" i="2"/>
  <c r="C31" i="2"/>
  <c r="G31" i="2" s="1"/>
  <c r="B31" i="2"/>
  <c r="Q30" i="2"/>
  <c r="G30" i="2"/>
  <c r="D30" i="2"/>
  <c r="C30" i="2"/>
  <c r="B30" i="2"/>
  <c r="Q29" i="2"/>
  <c r="G29" i="2"/>
  <c r="D29" i="2"/>
  <c r="C29" i="2"/>
  <c r="B29" i="2"/>
  <c r="Q28" i="2"/>
  <c r="G28" i="2"/>
  <c r="D28" i="2"/>
  <c r="C28" i="2"/>
  <c r="B28" i="2"/>
  <c r="Q27" i="2"/>
  <c r="G27" i="2"/>
  <c r="D27" i="2"/>
  <c r="C27" i="2"/>
  <c r="B27" i="2"/>
  <c r="Q26" i="2"/>
  <c r="C26" i="2"/>
  <c r="G26" i="2" s="1"/>
  <c r="B26" i="2"/>
  <c r="G25" i="2"/>
  <c r="C25" i="2"/>
  <c r="Q25" i="2" s="1"/>
  <c r="B25" i="2"/>
  <c r="Q24" i="2"/>
  <c r="G24" i="2"/>
  <c r="D24" i="2"/>
  <c r="C24" i="2"/>
  <c r="B24" i="2"/>
  <c r="A24" i="2"/>
  <c r="C23" i="2"/>
  <c r="B23" i="2"/>
  <c r="A23" i="2"/>
  <c r="I18" i="2"/>
  <c r="H18" i="2"/>
  <c r="G18" i="2"/>
  <c r="F18" i="2"/>
  <c r="E18" i="2"/>
  <c r="D18" i="2"/>
  <c r="C18" i="2"/>
  <c r="B18" i="2"/>
  <c r="F17" i="2"/>
  <c r="C17" i="2"/>
  <c r="I17" i="2" s="1"/>
  <c r="B17" i="2"/>
  <c r="C16" i="2"/>
  <c r="D16" i="2" s="1"/>
  <c r="B16" i="2"/>
  <c r="I15" i="2"/>
  <c r="H15" i="2"/>
  <c r="G15" i="2"/>
  <c r="F15" i="2"/>
  <c r="E15" i="2"/>
  <c r="D15" i="2"/>
  <c r="C15" i="2"/>
  <c r="B15" i="2"/>
  <c r="C14" i="2"/>
  <c r="B14" i="2"/>
  <c r="I13" i="2"/>
  <c r="H13" i="2"/>
  <c r="G13" i="2"/>
  <c r="F13" i="2"/>
  <c r="E13" i="2"/>
  <c r="D13" i="2"/>
  <c r="C13" i="2"/>
  <c r="B13" i="2"/>
  <c r="I12" i="2"/>
  <c r="H12" i="2"/>
  <c r="G12" i="2"/>
  <c r="F12" i="2"/>
  <c r="E12" i="2"/>
  <c r="D12" i="2"/>
  <c r="C12" i="2"/>
  <c r="B12" i="2"/>
  <c r="C11" i="2"/>
  <c r="G11" i="2" s="1"/>
  <c r="B11" i="2"/>
  <c r="I10" i="2"/>
  <c r="H10" i="2"/>
  <c r="G10" i="2"/>
  <c r="F10" i="2"/>
  <c r="E10" i="2"/>
  <c r="C10" i="2"/>
  <c r="D10" i="2" s="1"/>
  <c r="B10" i="2"/>
  <c r="F9" i="2"/>
  <c r="E9" i="2"/>
  <c r="C9" i="2"/>
  <c r="H9" i="2" s="1"/>
  <c r="B9" i="2"/>
  <c r="I8" i="2"/>
  <c r="C8" i="2"/>
  <c r="F8" i="2" s="1"/>
  <c r="B8" i="2"/>
  <c r="A8" i="2"/>
  <c r="I7" i="2"/>
  <c r="H7" i="2"/>
  <c r="F7" i="2"/>
  <c r="E7" i="2"/>
  <c r="C7" i="2"/>
  <c r="D7" i="2" s="1"/>
  <c r="B7" i="2"/>
  <c r="A7" i="2"/>
  <c r="E57" i="2" l="1"/>
  <c r="G57" i="2" s="1"/>
  <c r="E56" i="2"/>
  <c r="G56" i="2" s="1"/>
  <c r="E55" i="2"/>
  <c r="G55" i="2" s="1"/>
  <c r="AA58" i="2"/>
  <c r="Q58" i="2" s="1"/>
  <c r="AF56" i="2"/>
  <c r="F34" i="3"/>
  <c r="G33" i="3"/>
  <c r="F35" i="3"/>
  <c r="F36" i="3" s="1"/>
  <c r="AI57" i="2"/>
  <c r="AG57" i="2"/>
  <c r="AH57" i="2"/>
  <c r="A30" i="3"/>
  <c r="C29" i="3"/>
  <c r="B29" i="3"/>
  <c r="C91" i="3"/>
  <c r="D91" i="3"/>
  <c r="E5" i="9"/>
  <c r="C55" i="2"/>
  <c r="E91" i="3"/>
  <c r="G23" i="2"/>
  <c r="D23" i="2"/>
  <c r="Q23" i="2"/>
  <c r="Q35" i="2" s="1"/>
  <c r="C37" i="3"/>
  <c r="E5" i="6" s="1"/>
  <c r="D68" i="3"/>
  <c r="H14" i="2"/>
  <c r="F14" i="2"/>
  <c r="G14" i="2"/>
  <c r="E14" i="2"/>
  <c r="I14" i="2"/>
  <c r="D14" i="2"/>
  <c r="C56" i="4"/>
  <c r="C49" i="4"/>
  <c r="C57" i="4"/>
  <c r="C53" i="4"/>
  <c r="C54" i="4"/>
  <c r="C55" i="4" s="1"/>
  <c r="C59" i="4"/>
  <c r="C51" i="4"/>
  <c r="C50" i="4"/>
  <c r="C60" i="4" s="1" a="1"/>
  <c r="C60" i="4" s="1"/>
  <c r="D5" i="9"/>
  <c r="B55" i="2"/>
  <c r="A40" i="3"/>
  <c r="C39" i="3"/>
  <c r="U5" i="6" s="1"/>
  <c r="D17" i="2"/>
  <c r="D25" i="2"/>
  <c r="AA57" i="2"/>
  <c r="Q57" i="2" s="1"/>
  <c r="B39" i="3"/>
  <c r="T5" i="6" s="1"/>
  <c r="M25" i="3"/>
  <c r="C82" i="3"/>
  <c r="B83" i="3"/>
  <c r="C90" i="3"/>
  <c r="A7" i="4"/>
  <c r="E158" i="4" s="1"/>
  <c r="E153" i="4"/>
  <c r="E152" i="4"/>
  <c r="D152" i="4"/>
  <c r="D48" i="4"/>
  <c r="G7" i="2"/>
  <c r="D9" i="2"/>
  <c r="E17" i="2"/>
  <c r="F20" i="3"/>
  <c r="F25" i="3"/>
  <c r="F73" i="3"/>
  <c r="E75" i="3"/>
  <c r="E102" i="3"/>
  <c r="F101" i="3"/>
  <c r="E104" i="3"/>
  <c r="D156" i="4"/>
  <c r="J25" i="3"/>
  <c r="K23" i="3"/>
  <c r="I9" i="2"/>
  <c r="P23" i="3"/>
  <c r="I31" i="3"/>
  <c r="H35" i="3"/>
  <c r="D103" i="3"/>
  <c r="F25" i="4"/>
  <c r="C52" i="4"/>
  <c r="AF57" i="2"/>
  <c r="G25" i="3"/>
  <c r="G26" i="3" s="1"/>
  <c r="H23" i="3"/>
  <c r="G24" i="3"/>
  <c r="AB228" i="4" a="1"/>
  <c r="AB228" i="4" s="1"/>
  <c r="AD58" i="2"/>
  <c r="A12" i="4"/>
  <c r="D98" i="3"/>
  <c r="E94" i="3"/>
  <c r="D96" i="3"/>
  <c r="D95" i="3"/>
  <c r="D97" i="3"/>
  <c r="D26" i="2"/>
  <c r="D31" i="2"/>
  <c r="AF55" i="2"/>
  <c r="AE55" i="2"/>
  <c r="AE56" i="2"/>
  <c r="G5" i="5"/>
  <c r="A13" i="4"/>
  <c r="C58" i="4"/>
  <c r="E11" i="2"/>
  <c r="AA55" i="2"/>
  <c r="Q55" i="2" s="1"/>
  <c r="AF58" i="2"/>
  <c r="A71" i="2"/>
  <c r="B11" i="3"/>
  <c r="N25" i="3"/>
  <c r="D8" i="2"/>
  <c r="F11" i="2"/>
  <c r="F16" i="2"/>
  <c r="D34" i="2"/>
  <c r="AD55" i="2"/>
  <c r="O25" i="3"/>
  <c r="B77" i="3"/>
  <c r="C77" i="3" s="1"/>
  <c r="D76" i="3"/>
  <c r="F87" i="3"/>
  <c r="E90" i="3"/>
  <c r="E89" i="3"/>
  <c r="E88" i="3"/>
  <c r="E103" i="3"/>
  <c r="F28" i="4"/>
  <c r="F42" i="4"/>
  <c r="C125" i="4"/>
  <c r="C126" i="4" a="1"/>
  <c r="C126" i="4" s="1"/>
  <c r="C128" i="4"/>
  <c r="D158" i="4"/>
  <c r="H17" i="2"/>
  <c r="AE58" i="2"/>
  <c r="C103" i="3"/>
  <c r="E8" i="2"/>
  <c r="H11" i="2"/>
  <c r="G16" i="2"/>
  <c r="Q32" i="2"/>
  <c r="B69" i="2"/>
  <c r="F24" i="3"/>
  <c r="B105" i="3"/>
  <c r="E105" i="3" s="1"/>
  <c r="G27" i="4"/>
  <c r="G28" i="4"/>
  <c r="G42" i="4"/>
  <c r="D126" i="4" a="1"/>
  <c r="D126" i="4" s="1"/>
  <c r="D125" i="4"/>
  <c r="E124" i="4"/>
  <c r="G8" i="2"/>
  <c r="I11" i="2"/>
  <c r="H16" i="2"/>
  <c r="E58" i="2"/>
  <c r="G58" i="2" s="1"/>
  <c r="F17" i="3"/>
  <c r="I26" i="3"/>
  <c r="E5" i="7" s="1"/>
  <c r="E76" i="3"/>
  <c r="H26" i="4"/>
  <c r="E16" i="2"/>
  <c r="H8" i="2"/>
  <c r="I16" i="2"/>
  <c r="A135" i="4"/>
  <c r="B134" i="4"/>
  <c r="D98" i="4"/>
  <c r="G17" i="2"/>
  <c r="G9" i="2"/>
  <c r="D11" i="2"/>
  <c r="A78" i="2"/>
  <c r="J24" i="3"/>
  <c r="I34" i="3"/>
  <c r="I35" i="3"/>
  <c r="B38" i="3"/>
  <c r="L5" i="6" s="1"/>
  <c r="D82" i="3"/>
  <c r="D83" i="3"/>
  <c r="D81" i="3"/>
  <c r="D85" i="4"/>
  <c r="D96" i="4" s="1"/>
  <c r="D78" i="4"/>
  <c r="D88" i="4" s="1"/>
  <c r="D99" i="4" s="1"/>
  <c r="D71" i="4"/>
  <c r="D64" i="4"/>
  <c r="D73" i="4"/>
  <c r="D83" i="4" s="1"/>
  <c r="D94" i="4" s="1"/>
  <c r="D100" i="4" a="1"/>
  <c r="D100" i="4" s="1"/>
  <c r="D72" i="4"/>
  <c r="D76" i="4"/>
  <c r="D86" i="4"/>
  <c r="D97" i="4" s="1"/>
  <c r="E61" i="4"/>
  <c r="D74" i="4"/>
  <c r="D84" i="4" s="1"/>
  <c r="D95" i="4" s="1"/>
  <c r="D70" i="4"/>
  <c r="D80" i="4" s="1"/>
  <c r="D91" i="4" s="1"/>
  <c r="D67" i="4"/>
  <c r="D68" i="4" s="1"/>
  <c r="D66" i="4"/>
  <c r="D89" i="4"/>
  <c r="AD56" i="2"/>
  <c r="J33" i="3"/>
  <c r="C38" i="3"/>
  <c r="M5" i="6" s="1"/>
  <c r="E80" i="3"/>
  <c r="C28" i="3"/>
  <c r="E68" i="3"/>
  <c r="F18" i="3"/>
  <c r="E25" i="3"/>
  <c r="B37" i="3"/>
  <c r="D5" i="6" s="1"/>
  <c r="D104" i="3"/>
  <c r="G157" i="4"/>
  <c r="H21" i="8"/>
  <c r="E31" i="8"/>
  <c r="F68" i="3"/>
  <c r="E157" i="4"/>
  <c r="C156" i="4"/>
  <c r="E150" i="4"/>
  <c r="C149" i="4"/>
  <c r="D157" i="4"/>
  <c r="D150" i="4"/>
  <c r="D155" i="4"/>
  <c r="D223" i="4" a="1"/>
  <c r="D223" i="4" s="1"/>
  <c r="Q223" i="4" s="1" a="1"/>
  <c r="Q223" i="4" s="1"/>
  <c r="D151" i="4"/>
  <c r="C148" i="4"/>
  <c r="D145" i="4"/>
  <c r="C151" i="4"/>
  <c r="C145" i="4"/>
  <c r="E156" i="4"/>
  <c r="E154" i="4"/>
  <c r="E149" i="4"/>
  <c r="C223" i="4" a="1"/>
  <c r="C223" i="4" s="1"/>
  <c r="P223" i="4" s="1" a="1"/>
  <c r="P223" i="4" s="1"/>
  <c r="D148" i="4"/>
  <c r="D147" i="4"/>
  <c r="E145" i="4"/>
  <c r="B223" i="4" a="1"/>
  <c r="B223" i="4" s="1"/>
  <c r="O223" i="4" s="1" a="1"/>
  <c r="O223" i="4" s="1"/>
  <c r="C147" i="4"/>
  <c r="C153" i="4"/>
  <c r="E148" i="4"/>
  <c r="C157" i="4"/>
  <c r="D154" i="4"/>
  <c r="D149" i="4"/>
  <c r="C154" i="4"/>
  <c r="C158" i="4"/>
  <c r="C150" i="4"/>
  <c r="E155" i="4"/>
  <c r="E151" i="4"/>
  <c r="D153" i="4"/>
  <c r="G4" i="5"/>
  <c r="B28" i="3"/>
  <c r="G25" i="4"/>
  <c r="C89" i="4"/>
  <c r="C69" i="4"/>
  <c r="C79" i="4" s="1"/>
  <c r="C90" i="4" s="1"/>
  <c r="C66" i="4"/>
  <c r="C63" i="4"/>
  <c r="C100" i="4" s="1" a="1"/>
  <c r="C100" i="4" s="1"/>
  <c r="C72" i="4"/>
  <c r="C76" i="4"/>
  <c r="C85" i="4"/>
  <c r="C96" i="4" s="1"/>
  <c r="C64" i="4"/>
  <c r="C86" i="4"/>
  <c r="C97" i="4" s="1"/>
  <c r="C62" i="4"/>
  <c r="C75" i="4"/>
  <c r="C73" i="4"/>
  <c r="C83" i="4" s="1"/>
  <c r="C94" i="4" s="1"/>
  <c r="G158" i="4"/>
  <c r="G151" i="4"/>
  <c r="G156" i="4"/>
  <c r="G154" i="4"/>
  <c r="G149" i="4"/>
  <c r="G152" i="4"/>
  <c r="G150" i="4"/>
  <c r="G153" i="4"/>
  <c r="G155" i="4"/>
  <c r="H144" i="4"/>
  <c r="P17" i="9"/>
  <c r="M21" i="9"/>
  <c r="B111" i="4"/>
  <c r="F228" i="4" a="1"/>
  <c r="F228" i="4" s="1"/>
  <c r="S228" i="4" s="1" a="1"/>
  <c r="S228" i="4" s="1"/>
  <c r="AF228" i="4" s="1" a="1"/>
  <c r="AF228" i="4" s="1"/>
  <c r="G227" i="4"/>
  <c r="D77" i="3"/>
  <c r="B131" i="4"/>
  <c r="C222" i="4" a="1"/>
  <c r="C222" i="4" s="1"/>
  <c r="P222" i="4" s="1" a="1"/>
  <c r="P222" i="4" s="1"/>
  <c r="D221" i="4"/>
  <c r="L41" i="6"/>
  <c r="N41" i="6" s="1"/>
  <c r="N31" i="6"/>
  <c r="M222" i="4"/>
  <c r="D90" i="3"/>
  <c r="A230" i="4"/>
  <c r="E229" i="4" a="1"/>
  <c r="E229" i="4" s="1"/>
  <c r="R229" i="4" s="1" a="1"/>
  <c r="R229" i="4" s="1"/>
  <c r="AE229" i="4" s="1" a="1"/>
  <c r="AE229" i="4" s="1"/>
  <c r="D229" i="4" a="1"/>
  <c r="D229" i="4" s="1"/>
  <c r="Q229" i="4" s="1" a="1"/>
  <c r="Q229" i="4" s="1"/>
  <c r="AD229" i="4" s="1" a="1"/>
  <c r="AD229" i="4" s="1"/>
  <c r="C229" i="4" a="1"/>
  <c r="C229" i="4" s="1"/>
  <c r="P229" i="4" s="1" a="1"/>
  <c r="P229" i="4" s="1"/>
  <c r="AC229" i="4" s="1" a="1"/>
  <c r="AC229" i="4" s="1"/>
  <c r="B229" i="4" a="1"/>
  <c r="B229" i="4" s="1"/>
  <c r="O229" i="4" s="1" a="1"/>
  <c r="O229" i="4" s="1"/>
  <c r="M228" i="4"/>
  <c r="Z228" i="4" s="1" a="1"/>
  <c r="Z228" i="4" s="1"/>
  <c r="AC31" i="9"/>
  <c r="AF21" i="9"/>
  <c r="L16" i="10"/>
  <c r="L25" i="10" s="1"/>
  <c r="L29" i="10" s="1"/>
  <c r="Q20" i="10"/>
  <c r="Q24" i="10" s="1"/>
  <c r="F43" i="10"/>
  <c r="AD43" i="11"/>
  <c r="AC43" i="11"/>
  <c r="AE43" i="11" s="1"/>
  <c r="AG43" i="11" s="1"/>
  <c r="D31" i="12"/>
  <c r="D31" i="8"/>
  <c r="F21" i="8"/>
  <c r="AB21" i="8"/>
  <c r="AD17" i="8"/>
  <c r="L31" i="7"/>
  <c r="N21" i="7"/>
  <c r="AF21" i="8"/>
  <c r="AC31" i="8"/>
  <c r="A225" i="4"/>
  <c r="B224" i="4" a="1"/>
  <c r="B224" i="4" s="1"/>
  <c r="O224" i="4" s="1" a="1"/>
  <c r="O224" i="4" s="1"/>
  <c r="C224" i="4" a="1"/>
  <c r="C224" i="4" s="1"/>
  <c r="P224" i="4" s="1" a="1"/>
  <c r="P224" i="4" s="1"/>
  <c r="D224" i="4" a="1"/>
  <c r="D224" i="4" s="1"/>
  <c r="Q224" i="4" s="1" a="1"/>
  <c r="Q224" i="4" s="1"/>
  <c r="AC31" i="7"/>
  <c r="AF21" i="7"/>
  <c r="D30" i="12"/>
  <c r="G27" i="10"/>
  <c r="D29" i="10"/>
  <c r="T31" i="6"/>
  <c r="V21" i="6"/>
  <c r="V97" i="12"/>
  <c r="G97" i="12"/>
  <c r="T97" i="12"/>
  <c r="E97" i="12"/>
  <c r="S97" i="12"/>
  <c r="D97" i="12"/>
  <c r="R97" i="12"/>
  <c r="C97" i="12"/>
  <c r="P97" i="12"/>
  <c r="Y97" i="12"/>
  <c r="W97" i="12"/>
  <c r="U97" i="12"/>
  <c r="Q97" i="12"/>
  <c r="M97" i="12"/>
  <c r="L97" i="12"/>
  <c r="K97" i="12"/>
  <c r="X97" i="12"/>
  <c r="J97" i="12"/>
  <c r="I97" i="12"/>
  <c r="H97" i="12"/>
  <c r="F97" i="12"/>
  <c r="B98" i="12"/>
  <c r="Z97" i="12"/>
  <c r="U31" i="6"/>
  <c r="X21" i="6"/>
  <c r="L31" i="9"/>
  <c r="N21" i="9"/>
  <c r="R21" i="10"/>
  <c r="R22" i="10"/>
  <c r="H21" i="6"/>
  <c r="E31" i="6"/>
  <c r="V21" i="7"/>
  <c r="T31" i="7"/>
  <c r="U31" i="8"/>
  <c r="X21" i="8"/>
  <c r="J3" i="5"/>
  <c r="E8" i="6"/>
  <c r="N3" i="5"/>
  <c r="AB21" i="6"/>
  <c r="D41" i="7"/>
  <c r="F41" i="7" s="1"/>
  <c r="F31" i="7"/>
  <c r="AD41" i="11"/>
  <c r="AC41" i="11"/>
  <c r="AE41" i="11" s="1"/>
  <c r="AG41" i="11" s="1"/>
  <c r="E44" i="5"/>
  <c r="M31" i="7"/>
  <c r="P21" i="7"/>
  <c r="P41" i="12"/>
  <c r="B42" i="12"/>
  <c r="L41" i="12"/>
  <c r="Z41" i="12"/>
  <c r="K41" i="12"/>
  <c r="X41" i="12"/>
  <c r="I41" i="12"/>
  <c r="W41" i="12"/>
  <c r="H41" i="12"/>
  <c r="V41" i="12"/>
  <c r="G41" i="12"/>
  <c r="Y41" i="12"/>
  <c r="U41" i="12"/>
  <c r="T41" i="12"/>
  <c r="S41" i="12"/>
  <c r="R41" i="12"/>
  <c r="Q41" i="12"/>
  <c r="M41" i="12"/>
  <c r="J41" i="12"/>
  <c r="F41" i="12"/>
  <c r="E41" i="12"/>
  <c r="D41" i="12"/>
  <c r="C41" i="12"/>
  <c r="AC31" i="6"/>
  <c r="AC47" i="11"/>
  <c r="AE47" i="11" s="1"/>
  <c r="AG47" i="11" s="1"/>
  <c r="AD47" i="11"/>
  <c r="D22" i="11"/>
  <c r="E34" i="11"/>
  <c r="E40" i="11"/>
  <c r="E49" i="11"/>
  <c r="N22" i="11"/>
  <c r="R30" i="10"/>
  <c r="R32" i="10"/>
  <c r="G41" i="6"/>
  <c r="D62" i="2" s="1"/>
  <c r="T31" i="8"/>
  <c r="V21" i="8"/>
  <c r="E29" i="10"/>
  <c r="C43" i="10"/>
  <c r="G58" i="11"/>
  <c r="F54" i="11"/>
  <c r="G62" i="11" s="1"/>
  <c r="AD42" i="11"/>
  <c r="AC42" i="11"/>
  <c r="AE42" i="11" s="1"/>
  <c r="AG42" i="11" s="1"/>
  <c r="Z78" i="12"/>
  <c r="K78" i="12"/>
  <c r="X78" i="12"/>
  <c r="I78" i="12"/>
  <c r="W78" i="12"/>
  <c r="H78" i="12"/>
  <c r="V78" i="12"/>
  <c r="G78" i="12"/>
  <c r="T78" i="12"/>
  <c r="E78" i="12"/>
  <c r="D78" i="12"/>
  <c r="Y78" i="12"/>
  <c r="U78" i="12"/>
  <c r="R78" i="12"/>
  <c r="Q78" i="12"/>
  <c r="P78" i="12"/>
  <c r="B79" i="12"/>
  <c r="S78" i="12"/>
  <c r="M78" i="12"/>
  <c r="L78" i="12"/>
  <c r="J78" i="12"/>
  <c r="C78" i="12"/>
  <c r="D21" i="6"/>
  <c r="L21" i="8"/>
  <c r="O32" i="11"/>
  <c r="O33" i="11" s="1"/>
  <c r="G59" i="11" s="1"/>
  <c r="AF17" i="8"/>
  <c r="E41" i="10"/>
  <c r="P26" i="10"/>
  <c r="F47" i="11"/>
  <c r="G61" i="11" s="1"/>
  <c r="F17" i="6"/>
  <c r="G65" i="11"/>
  <c r="G41" i="10"/>
  <c r="AB61" i="11"/>
  <c r="AB65" i="11" s="1"/>
  <c r="F8" i="10"/>
  <c r="G8" i="7"/>
  <c r="P21" i="6"/>
  <c r="M31" i="6"/>
  <c r="AD45" i="11"/>
  <c r="AC45" i="11"/>
  <c r="AE45" i="11" s="1"/>
  <c r="AG45" i="11" s="1"/>
  <c r="U21" i="7"/>
  <c r="U21" i="9"/>
  <c r="D28" i="12"/>
  <c r="M21" i="8"/>
  <c r="D29" i="12"/>
  <c r="D21" i="9"/>
  <c r="D43" i="10"/>
  <c r="G15" i="5"/>
  <c r="E21" i="7"/>
  <c r="AB21" i="7"/>
  <c r="E21" i="9"/>
  <c r="AB21" i="9"/>
  <c r="G22" i="10"/>
  <c r="V96" i="12"/>
  <c r="L96" i="12"/>
  <c r="Q96" i="12"/>
  <c r="W77" i="12"/>
  <c r="S95" i="12"/>
  <c r="S96" i="12"/>
  <c r="P59" i="12"/>
  <c r="B60" i="12"/>
  <c r="L59" i="12"/>
  <c r="Z59" i="12"/>
  <c r="K59" i="12"/>
  <c r="X59" i="12"/>
  <c r="I59" i="12"/>
  <c r="U59" i="12"/>
  <c r="U96" i="12"/>
  <c r="C59" i="12"/>
  <c r="V59" i="12"/>
  <c r="V77" i="12"/>
  <c r="G77" i="12"/>
  <c r="T77" i="12"/>
  <c r="E77" i="12"/>
  <c r="S77" i="12"/>
  <c r="D77" i="12"/>
  <c r="R77" i="12"/>
  <c r="C77" i="12"/>
  <c r="P77" i="12"/>
  <c r="Z77" i="12"/>
  <c r="M95" i="12"/>
  <c r="Z95" i="12"/>
  <c r="K95" i="12"/>
  <c r="Y95" i="12"/>
  <c r="J95" i="12"/>
  <c r="X95" i="12"/>
  <c r="I95" i="12"/>
  <c r="V95" i="12"/>
  <c r="G95" i="12"/>
  <c r="W95" i="12"/>
  <c r="R96" i="12"/>
  <c r="C96" i="12"/>
  <c r="P96" i="12"/>
  <c r="M96" i="12"/>
  <c r="Z96" i="12"/>
  <c r="K96" i="12"/>
  <c r="W96" i="12"/>
  <c r="E96" i="12"/>
  <c r="Y96" i="12"/>
  <c r="X71" i="11" l="1"/>
  <c r="X74" i="11"/>
  <c r="Y72" i="11"/>
  <c r="X72" i="11"/>
  <c r="Y71" i="11"/>
  <c r="X73" i="11"/>
  <c r="Y70" i="11"/>
  <c r="X70" i="11"/>
  <c r="Y73" i="11"/>
  <c r="Y74" i="11"/>
  <c r="AD21" i="9"/>
  <c r="AB31" i="9"/>
  <c r="I36" i="3"/>
  <c r="I41" i="3"/>
  <c r="O30" i="12"/>
  <c r="O31" i="12"/>
  <c r="O29" i="12"/>
  <c r="N31" i="12"/>
  <c r="N29" i="12"/>
  <c r="N30" i="12"/>
  <c r="O32" i="12"/>
  <c r="N32" i="12"/>
  <c r="AC41" i="8"/>
  <c r="AF41" i="8" s="1"/>
  <c r="AF31" i="8"/>
  <c r="H31" i="8"/>
  <c r="E41" i="8"/>
  <c r="H41" i="8" s="1"/>
  <c r="X21" i="7"/>
  <c r="U31" i="7"/>
  <c r="T42" i="12"/>
  <c r="E42" i="12"/>
  <c r="Q42" i="12"/>
  <c r="P42" i="12"/>
  <c r="M42" i="12"/>
  <c r="B43" i="12"/>
  <c r="L42" i="12"/>
  <c r="Z42" i="12"/>
  <c r="K42" i="12"/>
  <c r="X42" i="12"/>
  <c r="W42" i="12"/>
  <c r="V42" i="12"/>
  <c r="U42" i="12"/>
  <c r="S42" i="12"/>
  <c r="R42" i="12"/>
  <c r="J42" i="12"/>
  <c r="H42" i="12"/>
  <c r="G42" i="12"/>
  <c r="F42" i="12"/>
  <c r="D42" i="12"/>
  <c r="C42" i="12"/>
  <c r="Y42" i="12"/>
  <c r="I42" i="12"/>
  <c r="U41" i="8"/>
  <c r="X41" i="8" s="1"/>
  <c r="X31" i="8"/>
  <c r="L41" i="7"/>
  <c r="N41" i="7" s="1"/>
  <c r="N31" i="7"/>
  <c r="M5" i="9"/>
  <c r="C56" i="2"/>
  <c r="AI58" i="2"/>
  <c r="AH58" i="2"/>
  <c r="AG58" i="2"/>
  <c r="D21" i="3"/>
  <c r="G34" i="3"/>
  <c r="G35" i="3"/>
  <c r="G36" i="3" s="1"/>
  <c r="B115" i="4"/>
  <c r="C114" i="4"/>
  <c r="B114" i="4"/>
  <c r="C115" i="4"/>
  <c r="D53" i="4"/>
  <c r="D49" i="4"/>
  <c r="D58" i="4"/>
  <c r="E48" i="4"/>
  <c r="D50" i="4"/>
  <c r="D60" i="4" s="1" a="1"/>
  <c r="D60" i="4" s="1"/>
  <c r="D54" i="4"/>
  <c r="D55" i="4" s="1"/>
  <c r="D59" i="4"/>
  <c r="D52" i="4"/>
  <c r="D51" i="4"/>
  <c r="D56" i="4"/>
  <c r="D57" i="4"/>
  <c r="C116" i="4" s="1"/>
  <c r="G63" i="11"/>
  <c r="G67" i="11" s="1"/>
  <c r="L23" i="3"/>
  <c r="K24" i="3"/>
  <c r="K25" i="3"/>
  <c r="B71" i="2" s="1"/>
  <c r="H24" i="3"/>
  <c r="H25" i="3"/>
  <c r="T41" i="7"/>
  <c r="V41" i="7" s="1"/>
  <c r="V31" i="7"/>
  <c r="AF31" i="9"/>
  <c r="AC41" i="9"/>
  <c r="AF41" i="9" s="1"/>
  <c r="G228" i="4" a="1"/>
  <c r="G228" i="4" s="1"/>
  <c r="T228" i="4" s="1" a="1"/>
  <c r="T228" i="4" s="1"/>
  <c r="AG228" i="4" s="1" a="1"/>
  <c r="AG228" i="4" s="1"/>
  <c r="H227" i="4"/>
  <c r="E82" i="3"/>
  <c r="E81" i="3"/>
  <c r="F80" i="3"/>
  <c r="E84" i="3"/>
  <c r="E83" i="3"/>
  <c r="L5" i="7"/>
  <c r="J31" i="3"/>
  <c r="J26" i="3"/>
  <c r="M5" i="7" s="1"/>
  <c r="Q30" i="10"/>
  <c r="Q32" i="10"/>
  <c r="E41" i="6"/>
  <c r="H41" i="6" s="1"/>
  <c r="H31" i="6"/>
  <c r="AD21" i="7"/>
  <c r="AB31" i="7"/>
  <c r="D41" i="8"/>
  <c r="F41" i="8" s="1"/>
  <c r="F31" i="8"/>
  <c r="D35" i="2"/>
  <c r="T5" i="9"/>
  <c r="B57" i="2"/>
  <c r="H21" i="7"/>
  <c r="E31" i="7"/>
  <c r="D31" i="6"/>
  <c r="F21" i="6"/>
  <c r="AC41" i="6"/>
  <c r="AF41" i="6" s="1"/>
  <c r="AF31" i="6"/>
  <c r="M31" i="9"/>
  <c r="P21" i="9"/>
  <c r="D93" i="4"/>
  <c r="D82" i="4"/>
  <c r="G35" i="2"/>
  <c r="A79" i="2"/>
  <c r="B79" i="2" s="1"/>
  <c r="B78" i="2"/>
  <c r="C69" i="2"/>
  <c r="T5" i="8"/>
  <c r="O31" i="3"/>
  <c r="O26" i="3"/>
  <c r="U5" i="8" s="1"/>
  <c r="C30" i="3"/>
  <c r="B30" i="3"/>
  <c r="O8" i="7"/>
  <c r="W8" i="7" s="1"/>
  <c r="AE8" i="7" s="1"/>
  <c r="G8" i="9"/>
  <c r="O8" i="9" s="1"/>
  <c r="W8" i="9" s="1"/>
  <c r="AE8" i="9" s="1"/>
  <c r="G8" i="8"/>
  <c r="O8" i="8" s="1"/>
  <c r="W8" i="8" s="1"/>
  <c r="AE8" i="8" s="1"/>
  <c r="AB229" i="4" a="1"/>
  <c r="AB229" i="4" s="1"/>
  <c r="L5" i="9"/>
  <c r="B56" i="2"/>
  <c r="R31" i="12"/>
  <c r="S32" i="12"/>
  <c r="S31" i="12"/>
  <c r="S30" i="12"/>
  <c r="R29" i="12"/>
  <c r="R32" i="12"/>
  <c r="R30" i="12"/>
  <c r="S29" i="12"/>
  <c r="G229" i="4" a="1"/>
  <c r="G229" i="4" s="1"/>
  <c r="T229" i="4" s="1" a="1"/>
  <c r="T229" i="4" s="1"/>
  <c r="AG229" i="4" s="1" a="1"/>
  <c r="AG229" i="4" s="1"/>
  <c r="E221" i="4"/>
  <c r="D222" i="4" a="1"/>
  <c r="D222" i="4" s="1"/>
  <c r="Q222" i="4" s="1" a="1"/>
  <c r="Q222" i="4" s="1"/>
  <c r="M223" i="4"/>
  <c r="F104" i="3"/>
  <c r="F103" i="3"/>
  <c r="F102" i="3"/>
  <c r="F105" i="3"/>
  <c r="U5" i="9"/>
  <c r="C57" i="2"/>
  <c r="G44" i="5"/>
  <c r="H15" i="5"/>
  <c r="G16" i="5"/>
  <c r="G31" i="5"/>
  <c r="G17" i="5"/>
  <c r="V31" i="8"/>
  <c r="T41" i="8"/>
  <c r="V41" i="8" s="1"/>
  <c r="V31" i="6"/>
  <c r="T41" i="6"/>
  <c r="V41" i="6" s="1"/>
  <c r="E26" i="3"/>
  <c r="B62" i="2"/>
  <c r="AH56" i="2"/>
  <c r="AG56" i="2"/>
  <c r="AI56" i="2"/>
  <c r="B70" i="2"/>
  <c r="E77" i="3"/>
  <c r="C40" i="3"/>
  <c r="AC5" i="6" s="1"/>
  <c r="B40" i="3"/>
  <c r="AB5" i="6" s="1"/>
  <c r="M41" i="7"/>
  <c r="P41" i="7" s="1"/>
  <c r="P31" i="7"/>
  <c r="L5" i="8"/>
  <c r="N31" i="3"/>
  <c r="N26" i="3"/>
  <c r="M5" i="8" s="1"/>
  <c r="F90" i="3"/>
  <c r="F88" i="3"/>
  <c r="F89" i="3"/>
  <c r="F91" i="3"/>
  <c r="N21" i="8"/>
  <c r="L31" i="8"/>
  <c r="M8" i="10"/>
  <c r="R8" i="10"/>
  <c r="B77" i="2"/>
  <c r="T60" i="12"/>
  <c r="E60" i="12"/>
  <c r="R60" i="12"/>
  <c r="C60" i="12"/>
  <c r="Q60" i="12"/>
  <c r="P60" i="12"/>
  <c r="M60" i="12"/>
  <c r="Y60" i="12"/>
  <c r="D60" i="12"/>
  <c r="V60" i="12"/>
  <c r="U60" i="12"/>
  <c r="L60" i="12"/>
  <c r="K60" i="12"/>
  <c r="H60" i="12"/>
  <c r="G60" i="12"/>
  <c r="F60" i="12"/>
  <c r="B61" i="12"/>
  <c r="S60" i="12"/>
  <c r="J60" i="12"/>
  <c r="I60" i="12"/>
  <c r="Z60" i="12"/>
  <c r="W60" i="12"/>
  <c r="X60" i="12"/>
  <c r="F21" i="9"/>
  <c r="D31" i="9"/>
  <c r="AD21" i="6"/>
  <c r="AB31" i="6"/>
  <c r="L41" i="9"/>
  <c r="N41" i="9" s="1"/>
  <c r="N31" i="9"/>
  <c r="L31" i="10"/>
  <c r="G29" i="10"/>
  <c r="C225" i="4" a="1"/>
  <c r="C225" i="4" s="1"/>
  <c r="P225" i="4" s="1" a="1"/>
  <c r="P225" i="4" s="1"/>
  <c r="B225" i="4" a="1"/>
  <c r="B225" i="4" s="1"/>
  <c r="O225" i="4" s="1" a="1"/>
  <c r="O225" i="4" s="1"/>
  <c r="D225" i="4" a="1"/>
  <c r="D225" i="4" s="1"/>
  <c r="Q225" i="4" s="1" a="1"/>
  <c r="Q225" i="4" s="1"/>
  <c r="E225" i="4" a="1"/>
  <c r="E225" i="4" s="1"/>
  <c r="R225" i="4" s="1" a="1"/>
  <c r="R225" i="4" s="1"/>
  <c r="M31" i="10"/>
  <c r="M35" i="10" s="1"/>
  <c r="M43" i="10" s="1"/>
  <c r="H152" i="4"/>
  <c r="H145" i="4"/>
  <c r="H156" i="4"/>
  <c r="H154" i="4"/>
  <c r="H149" i="4"/>
  <c r="H158" i="4"/>
  <c r="I144" i="4"/>
  <c r="H153" i="4"/>
  <c r="H157" i="4"/>
  <c r="H155" i="4"/>
  <c r="H150" i="4"/>
  <c r="H148" i="4"/>
  <c r="H147" i="4"/>
  <c r="H151" i="4"/>
  <c r="A72" i="2"/>
  <c r="J29" i="12"/>
  <c r="J30" i="12"/>
  <c r="K31" i="12"/>
  <c r="J31" i="12"/>
  <c r="K29" i="12"/>
  <c r="K32" i="12"/>
  <c r="J32" i="12"/>
  <c r="K30" i="12"/>
  <c r="M224" i="4"/>
  <c r="D92" i="4"/>
  <c r="D81" i="4"/>
  <c r="M229" i="4"/>
  <c r="Z229" i="4" s="1" a="1"/>
  <c r="Z229" i="4" s="1"/>
  <c r="AH55" i="2"/>
  <c r="AI55" i="2"/>
  <c r="AG55" i="2"/>
  <c r="F76" i="3"/>
  <c r="F74" i="3"/>
  <c r="F77" i="3"/>
  <c r="F75" i="3"/>
  <c r="B84" i="3"/>
  <c r="C83" i="3"/>
  <c r="B64" i="2"/>
  <c r="M41" i="6"/>
  <c r="P41" i="6" s="1"/>
  <c r="P31" i="6"/>
  <c r="M62" i="11"/>
  <c r="P4" i="2" s="1"/>
  <c r="M58" i="11"/>
  <c r="M4" i="2" s="1"/>
  <c r="M61" i="11"/>
  <c r="O4" i="2" s="1"/>
  <c r="M59" i="11" a="1"/>
  <c r="M59" i="11" s="1"/>
  <c r="N4" i="2" s="1"/>
  <c r="D8" i="10"/>
  <c r="L8" i="10" s="1"/>
  <c r="E8" i="7"/>
  <c r="M8" i="6"/>
  <c r="U8" i="6" s="1"/>
  <c r="AC8" i="6" s="1"/>
  <c r="U41" i="6"/>
  <c r="X41" i="6" s="1"/>
  <c r="X31" i="6"/>
  <c r="F26" i="3"/>
  <c r="B63" i="2"/>
  <c r="J34" i="3"/>
  <c r="J35" i="3"/>
  <c r="K33" i="3"/>
  <c r="E76" i="4"/>
  <c r="E63" i="4"/>
  <c r="E100" i="4" s="1" a="1"/>
  <c r="E100" i="4" s="1"/>
  <c r="E62" i="4"/>
  <c r="E78" i="4"/>
  <c r="E88" i="4" s="1"/>
  <c r="E99" i="4" s="1"/>
  <c r="E77" i="4"/>
  <c r="E66" i="4"/>
  <c r="E65" i="4"/>
  <c r="E74" i="4"/>
  <c r="E84" i="4" s="1"/>
  <c r="E95" i="4" s="1"/>
  <c r="E70" i="4"/>
  <c r="E80" i="4" s="1"/>
  <c r="E91" i="4" s="1"/>
  <c r="F61" i="4"/>
  <c r="E89" i="4"/>
  <c r="E71" i="4"/>
  <c r="E75" i="4"/>
  <c r="E67" i="4"/>
  <c r="E68" i="4" s="1"/>
  <c r="E86" i="4"/>
  <c r="E97" i="4" s="1"/>
  <c r="E72" i="4"/>
  <c r="E64" i="4"/>
  <c r="E73" i="4"/>
  <c r="E83" i="4" s="1"/>
  <c r="E94" i="4" s="1"/>
  <c r="E69" i="4"/>
  <c r="E79" i="4" s="1"/>
  <c r="E90" i="4" s="1"/>
  <c r="E85" i="4"/>
  <c r="E96" i="4" s="1"/>
  <c r="H21" i="9"/>
  <c r="E31" i="9"/>
  <c r="E98" i="3"/>
  <c r="E95" i="3"/>
  <c r="F94" i="3"/>
  <c r="E97" i="3"/>
  <c r="E96" i="3"/>
  <c r="D5" i="8"/>
  <c r="M31" i="3"/>
  <c r="B76" i="2"/>
  <c r="M26" i="3"/>
  <c r="E5" i="8" s="1"/>
  <c r="D40" i="11"/>
  <c r="D34" i="11"/>
  <c r="D49" i="11"/>
  <c r="M22" i="11"/>
  <c r="AD21" i="8"/>
  <c r="AB31" i="8"/>
  <c r="B135" i="4"/>
  <c r="A136" i="4"/>
  <c r="D105" i="3"/>
  <c r="C105" i="3"/>
  <c r="G6" i="5"/>
  <c r="B12" i="3"/>
  <c r="A9" i="2"/>
  <c r="A14" i="4"/>
  <c r="A25" i="2"/>
  <c r="P21" i="8"/>
  <c r="M31" i="8"/>
  <c r="C130" i="4"/>
  <c r="C134" i="4"/>
  <c r="C133" i="4"/>
  <c r="C132" i="4"/>
  <c r="C131" i="4"/>
  <c r="C135" i="4"/>
  <c r="H36" i="3"/>
  <c r="H41" i="3"/>
  <c r="G32" i="12"/>
  <c r="G30" i="12"/>
  <c r="G31" i="12"/>
  <c r="F31" i="12"/>
  <c r="G29" i="12"/>
  <c r="F29" i="12"/>
  <c r="F32" i="12"/>
  <c r="F30" i="12"/>
  <c r="P79" i="12"/>
  <c r="M79" i="12"/>
  <c r="B80" i="12"/>
  <c r="L79" i="12"/>
  <c r="Z79" i="12"/>
  <c r="K79" i="12"/>
  <c r="X79" i="12"/>
  <c r="I79" i="12"/>
  <c r="Y79" i="12"/>
  <c r="D79" i="12"/>
  <c r="U79" i="12"/>
  <c r="T79" i="12"/>
  <c r="R79" i="12"/>
  <c r="Q79" i="12"/>
  <c r="W79" i="12"/>
  <c r="S79" i="12"/>
  <c r="V79" i="12"/>
  <c r="J79" i="12"/>
  <c r="H79" i="12"/>
  <c r="G79" i="12"/>
  <c r="E79" i="12"/>
  <c r="F79" i="12"/>
  <c r="C79" i="12"/>
  <c r="D8" i="6"/>
  <c r="M3" i="5"/>
  <c r="P3" i="5" s="1"/>
  <c r="H27" i="4"/>
  <c r="H42" i="4"/>
  <c r="I26" i="4"/>
  <c r="H28" i="4"/>
  <c r="E125" i="4"/>
  <c r="E126" i="4" a="1"/>
  <c r="E126" i="4" s="1"/>
  <c r="F124" i="4"/>
  <c r="E128" i="4"/>
  <c r="X21" i="9"/>
  <c r="U31" i="9"/>
  <c r="Z98" i="12"/>
  <c r="K98" i="12"/>
  <c r="X98" i="12"/>
  <c r="I98" i="12"/>
  <c r="W98" i="12"/>
  <c r="H98" i="12"/>
  <c r="V98" i="12"/>
  <c r="G98" i="12"/>
  <c r="T98" i="12"/>
  <c r="E98" i="12"/>
  <c r="U98" i="12"/>
  <c r="R98" i="12"/>
  <c r="Q98" i="12"/>
  <c r="P98" i="12"/>
  <c r="M98" i="12"/>
  <c r="L98" i="12"/>
  <c r="J98" i="12"/>
  <c r="B99" i="12"/>
  <c r="S98" i="12"/>
  <c r="F98" i="12"/>
  <c r="D98" i="12"/>
  <c r="C98" i="12"/>
  <c r="Y98" i="12"/>
  <c r="AF31" i="7"/>
  <c r="AC41" i="7"/>
  <c r="AF41" i="7" s="1"/>
  <c r="L35" i="10"/>
  <c r="L43" i="10" s="1"/>
  <c r="H230" i="4" a="1"/>
  <c r="H230" i="4" s="1"/>
  <c r="U230" i="4" s="1" a="1"/>
  <c r="U230" i="4" s="1"/>
  <c r="AH230" i="4" s="1" a="1"/>
  <c r="AH230" i="4" s="1"/>
  <c r="F230" i="4" a="1"/>
  <c r="F230" i="4" s="1"/>
  <c r="S230" i="4" s="1" a="1"/>
  <c r="S230" i="4" s="1"/>
  <c r="AF230" i="4" s="1" a="1"/>
  <c r="AF230" i="4" s="1"/>
  <c r="C230" i="4" a="1"/>
  <c r="C230" i="4" s="1"/>
  <c r="P230" i="4" s="1" a="1"/>
  <c r="P230" i="4" s="1"/>
  <c r="AC230" i="4" s="1" a="1"/>
  <c r="AC230" i="4" s="1"/>
  <c r="E230" i="4" a="1"/>
  <c r="E230" i="4" s="1"/>
  <c r="R230" i="4" s="1" a="1"/>
  <c r="R230" i="4" s="1"/>
  <c r="AE230" i="4" s="1" a="1"/>
  <c r="AE230" i="4" s="1"/>
  <c r="D230" i="4" a="1"/>
  <c r="D230" i="4" s="1"/>
  <c r="Q230" i="4" s="1" a="1"/>
  <c r="Q230" i="4" s="1"/>
  <c r="AD230" i="4" s="1" a="1"/>
  <c r="AD230" i="4" s="1"/>
  <c r="G230" i="4" a="1"/>
  <c r="G230" i="4" s="1"/>
  <c r="T230" i="4" s="1" a="1"/>
  <c r="T230" i="4" s="1"/>
  <c r="AG230" i="4" s="1" a="1"/>
  <c r="AG230" i="4" s="1"/>
  <c r="B230" i="4" a="1"/>
  <c r="B230" i="4" s="1"/>
  <c r="O230" i="4" s="1" a="1"/>
  <c r="O230" i="4" s="1"/>
  <c r="A231" i="4"/>
  <c r="C93" i="4"/>
  <c r="C82" i="4"/>
  <c r="E147" i="4"/>
  <c r="D130" i="4"/>
  <c r="D131" i="4"/>
  <c r="D135" i="4"/>
  <c r="D133" i="4"/>
  <c r="D132" i="4"/>
  <c r="D134" i="4"/>
  <c r="P24" i="3"/>
  <c r="P25" i="3"/>
  <c r="C71" i="2" l="1"/>
  <c r="W78" i="2"/>
  <c r="C78" i="2"/>
  <c r="F126" i="4" a="1"/>
  <c r="F126" i="4" s="1"/>
  <c r="F128" i="4"/>
  <c r="G124" i="4"/>
  <c r="F125" i="4"/>
  <c r="AB5" i="8"/>
  <c r="P26" i="3"/>
  <c r="AC5" i="8" s="1"/>
  <c r="P31" i="3"/>
  <c r="P99" i="12"/>
  <c r="M99" i="12"/>
  <c r="B100" i="12"/>
  <c r="L99" i="12"/>
  <c r="Z99" i="12"/>
  <c r="K99" i="12"/>
  <c r="X99" i="12"/>
  <c r="I99" i="12"/>
  <c r="T99" i="12"/>
  <c r="R99" i="12"/>
  <c r="Q99" i="12"/>
  <c r="H99" i="12"/>
  <c r="G99" i="12"/>
  <c r="F99" i="12"/>
  <c r="S99" i="12"/>
  <c r="J99" i="12"/>
  <c r="E99" i="12"/>
  <c r="D99" i="12"/>
  <c r="C99" i="12"/>
  <c r="Y99" i="12"/>
  <c r="W99" i="12"/>
  <c r="V99" i="12"/>
  <c r="U99" i="12"/>
  <c r="G7" i="5"/>
  <c r="A15" i="4"/>
  <c r="B13" i="3"/>
  <c r="A10" i="2"/>
  <c r="A26" i="2"/>
  <c r="E87" i="4"/>
  <c r="E98" i="4"/>
  <c r="M8" i="7"/>
  <c r="U8" i="7" s="1"/>
  <c r="AC8" i="7" s="1"/>
  <c r="E8" i="9"/>
  <c r="M8" i="9" s="1"/>
  <c r="U8" i="9" s="1"/>
  <c r="AC8" i="9" s="1"/>
  <c r="E8" i="8"/>
  <c r="M8" i="8" s="1"/>
  <c r="U8" i="8" s="1"/>
  <c r="AC8" i="8" s="1"/>
  <c r="E222" i="4" a="1"/>
  <c r="E222" i="4" s="1"/>
  <c r="R222" i="4" s="1" a="1"/>
  <c r="R222" i="4" s="1"/>
  <c r="F221" i="4"/>
  <c r="E224" i="4" a="1"/>
  <c r="E224" i="4" s="1"/>
  <c r="R224" i="4" s="1" a="1"/>
  <c r="R224" i="4" s="1"/>
  <c r="E223" i="4" a="1"/>
  <c r="E223" i="4" s="1"/>
  <c r="R223" i="4" s="1" a="1"/>
  <c r="R223" i="4" s="1"/>
  <c r="E59" i="4"/>
  <c r="E52" i="4"/>
  <c r="E49" i="4"/>
  <c r="E56" i="4"/>
  <c r="E53" i="4"/>
  <c r="E51" i="4"/>
  <c r="E50" i="4"/>
  <c r="E58" i="4"/>
  <c r="E54" i="4"/>
  <c r="E55" i="4" s="1"/>
  <c r="E57" i="4"/>
  <c r="M230" i="4"/>
  <c r="Z230" i="4" s="1" a="1"/>
  <c r="Z230" i="4" s="1"/>
  <c r="AD31" i="6"/>
  <c r="AB41" i="6"/>
  <c r="AD41" i="6" s="1"/>
  <c r="C77" i="2"/>
  <c r="W77" i="2"/>
  <c r="H31" i="3"/>
  <c r="H26" i="3"/>
  <c r="B65" i="2"/>
  <c r="U41" i="7"/>
  <c r="X41" i="7" s="1"/>
  <c r="X31" i="7"/>
  <c r="W76" i="2"/>
  <c r="C76" i="2"/>
  <c r="W62" i="2"/>
  <c r="C62" i="2"/>
  <c r="P32" i="10"/>
  <c r="D41" i="6"/>
  <c r="F41" i="6" s="1"/>
  <c r="F31" i="6"/>
  <c r="P30" i="10"/>
  <c r="AC5" i="9"/>
  <c r="C58" i="2"/>
  <c r="L24" i="3"/>
  <c r="L25" i="3"/>
  <c r="AD31" i="9"/>
  <c r="AB41" i="9"/>
  <c r="AD41" i="9" s="1"/>
  <c r="W63" i="2"/>
  <c r="C63" i="2"/>
  <c r="C64" i="2"/>
  <c r="W64" i="2"/>
  <c r="H31" i="7"/>
  <c r="E41" i="7"/>
  <c r="H41" i="7" s="1"/>
  <c r="C79" i="2"/>
  <c r="W79" i="2"/>
  <c r="F98" i="3"/>
  <c r="F95" i="3"/>
  <c r="F97" i="3"/>
  <c r="F96" i="3"/>
  <c r="A232" i="4"/>
  <c r="E231" i="4" a="1"/>
  <c r="E231" i="4" s="1"/>
  <c r="R231" i="4" s="1" a="1"/>
  <c r="R231" i="4" s="1"/>
  <c r="AE231" i="4" s="1" a="1"/>
  <c r="AE231" i="4" s="1"/>
  <c r="D231" i="4" a="1"/>
  <c r="D231" i="4" s="1"/>
  <c r="Q231" i="4" s="1" a="1"/>
  <c r="Q231" i="4" s="1"/>
  <c r="AD231" i="4" s="1" a="1"/>
  <c r="AD231" i="4" s="1"/>
  <c r="C231" i="4" a="1"/>
  <c r="C231" i="4" s="1"/>
  <c r="P231" i="4" s="1" a="1"/>
  <c r="P231" i="4" s="1"/>
  <c r="AC231" i="4" s="1" a="1"/>
  <c r="AC231" i="4" s="1"/>
  <c r="H231" i="4" a="1"/>
  <c r="H231" i="4" s="1"/>
  <c r="U231" i="4" s="1" a="1"/>
  <c r="U231" i="4" s="1"/>
  <c r="AH231" i="4" s="1" a="1"/>
  <c r="AH231" i="4" s="1"/>
  <c r="F231" i="4" a="1"/>
  <c r="F231" i="4" s="1"/>
  <c r="S231" i="4" s="1" a="1"/>
  <c r="S231" i="4" s="1"/>
  <c r="AF231" i="4" s="1" a="1"/>
  <c r="AF231" i="4" s="1"/>
  <c r="B231" i="4" a="1"/>
  <c r="B231" i="4" s="1"/>
  <c r="O231" i="4" s="1" a="1"/>
  <c r="O231" i="4" s="1"/>
  <c r="G231" i="4" a="1"/>
  <c r="G231" i="4" s="1"/>
  <c r="T231" i="4" s="1" a="1"/>
  <c r="T231" i="4" s="1"/>
  <c r="AG231" i="4" s="1" a="1"/>
  <c r="AG231" i="4" s="1"/>
  <c r="E130" i="4"/>
  <c r="E131" i="4"/>
  <c r="E132" i="4"/>
  <c r="E136" i="4"/>
  <c r="E133" i="4"/>
  <c r="E135" i="4"/>
  <c r="E137" i="4"/>
  <c r="E134" i="4"/>
  <c r="M41" i="8"/>
  <c r="P41" i="8" s="1"/>
  <c r="P31" i="8"/>
  <c r="AB41" i="8"/>
  <c r="AD41" i="8" s="1"/>
  <c r="AD31" i="8"/>
  <c r="F73" i="4"/>
  <c r="F83" i="4" s="1"/>
  <c r="F94" i="4" s="1"/>
  <c r="F66" i="4"/>
  <c r="F89" i="4"/>
  <c r="F75" i="4"/>
  <c r="F71" i="4"/>
  <c r="F65" i="4"/>
  <c r="F62" i="4"/>
  <c r="G61" i="4"/>
  <c r="F76" i="4"/>
  <c r="F69" i="4"/>
  <c r="F79" i="4" s="1"/>
  <c r="F90" i="4" s="1"/>
  <c r="F78" i="4"/>
  <c r="F88" i="4" s="1"/>
  <c r="F99" i="4" s="1"/>
  <c r="F85" i="4"/>
  <c r="F96" i="4" s="1"/>
  <c r="F72" i="4"/>
  <c r="F64" i="4"/>
  <c r="F86" i="4"/>
  <c r="F97" i="4" s="1"/>
  <c r="F70" i="4"/>
  <c r="F80" i="4" s="1"/>
  <c r="F91" i="4" s="1"/>
  <c r="F74" i="4"/>
  <c r="F84" i="4" s="1"/>
  <c r="F95" i="4" s="1"/>
  <c r="F77" i="4"/>
  <c r="F63" i="4"/>
  <c r="F100" i="4" s="1" a="1"/>
  <c r="F100" i="4" s="1"/>
  <c r="F67" i="4"/>
  <c r="F68" i="4" s="1"/>
  <c r="H228" i="4" a="1"/>
  <c r="H228" i="4" s="1"/>
  <c r="U228" i="4" s="1" a="1"/>
  <c r="U228" i="4" s="1"/>
  <c r="AH228" i="4" s="1" a="1"/>
  <c r="AH228" i="4" s="1"/>
  <c r="I227" i="4"/>
  <c r="H229" i="4" a="1"/>
  <c r="H229" i="4" s="1"/>
  <c r="U229" i="4" s="1" a="1"/>
  <c r="U229" i="4" s="1"/>
  <c r="AH229" i="4" s="1" a="1"/>
  <c r="AH229" i="4" s="1"/>
  <c r="X43" i="12"/>
  <c r="I43" i="12"/>
  <c r="U43" i="12"/>
  <c r="F43" i="12"/>
  <c r="T43" i="12"/>
  <c r="E43" i="12"/>
  <c r="R43" i="12"/>
  <c r="C43" i="12"/>
  <c r="Q43" i="12"/>
  <c r="P43" i="12"/>
  <c r="Z43" i="12"/>
  <c r="Y43" i="12"/>
  <c r="W43" i="12"/>
  <c r="V43" i="12"/>
  <c r="S43" i="12"/>
  <c r="L43" i="12"/>
  <c r="M43" i="12"/>
  <c r="K43" i="12"/>
  <c r="J43" i="12"/>
  <c r="H43" i="12"/>
  <c r="G43" i="12"/>
  <c r="D43" i="12"/>
  <c r="B44" i="12"/>
  <c r="E93" i="4"/>
  <c r="E82" i="4"/>
  <c r="U41" i="9"/>
  <c r="X41" i="9" s="1"/>
  <c r="X31" i="9"/>
  <c r="A137" i="4"/>
  <c r="B136" i="4"/>
  <c r="AB5" i="9"/>
  <c r="B58" i="2"/>
  <c r="I152" i="4"/>
  <c r="I145" i="4"/>
  <c r="I156" i="4"/>
  <c r="I158" i="4"/>
  <c r="J144" i="4"/>
  <c r="I147" i="4"/>
  <c r="I157" i="4"/>
  <c r="I155" i="4"/>
  <c r="I153" i="4"/>
  <c r="I154" i="4"/>
  <c r="I149" i="4"/>
  <c r="I150" i="4"/>
  <c r="I151" i="4"/>
  <c r="I148" i="4"/>
  <c r="D136" i="4"/>
  <c r="AB230" i="4" a="1"/>
  <c r="AB230" i="4" s="1"/>
  <c r="H31" i="9"/>
  <c r="E41" i="9"/>
  <c r="H41" i="9" s="1"/>
  <c r="C84" i="3"/>
  <c r="D84" i="3"/>
  <c r="L41" i="8"/>
  <c r="N41" i="8" s="1"/>
  <c r="N31" i="8"/>
  <c r="M225" i="4"/>
  <c r="K34" i="3"/>
  <c r="K35" i="3"/>
  <c r="W57" i="2"/>
  <c r="I27" i="4"/>
  <c r="J26" i="4"/>
  <c r="I42" i="4"/>
  <c r="I28" i="4"/>
  <c r="T80" i="12"/>
  <c r="E80" i="12"/>
  <c r="R80" i="12"/>
  <c r="C80" i="12"/>
  <c r="Q80" i="12"/>
  <c r="P80" i="12"/>
  <c r="M80" i="12"/>
  <c r="X80" i="12"/>
  <c r="U80" i="12"/>
  <c r="S80" i="12"/>
  <c r="L80" i="12"/>
  <c r="K80" i="12"/>
  <c r="J80" i="12"/>
  <c r="I80" i="12"/>
  <c r="H80" i="12"/>
  <c r="G80" i="12"/>
  <c r="F80" i="12"/>
  <c r="D80" i="12"/>
  <c r="V80" i="12"/>
  <c r="W80" i="12"/>
  <c r="Z80" i="12"/>
  <c r="B81" i="12"/>
  <c r="Y80" i="12"/>
  <c r="X61" i="12"/>
  <c r="I61" i="12"/>
  <c r="V61" i="12"/>
  <c r="G61" i="12"/>
  <c r="U61" i="12"/>
  <c r="F61" i="12"/>
  <c r="T61" i="12"/>
  <c r="E61" i="12"/>
  <c r="R61" i="12"/>
  <c r="C61" i="12"/>
  <c r="Y61" i="12"/>
  <c r="Q61" i="12"/>
  <c r="P61" i="12"/>
  <c r="M61" i="12"/>
  <c r="L61" i="12"/>
  <c r="K61" i="12"/>
  <c r="Z61" i="12"/>
  <c r="W61" i="12"/>
  <c r="S61" i="12"/>
  <c r="J61" i="12"/>
  <c r="H61" i="12"/>
  <c r="B62" i="12"/>
  <c r="D61" i="12"/>
  <c r="C70" i="2"/>
  <c r="W70" i="2"/>
  <c r="B116" i="4"/>
  <c r="D41" i="9"/>
  <c r="F41" i="9" s="1"/>
  <c r="F31" i="9"/>
  <c r="H44" i="5"/>
  <c r="I15" i="5"/>
  <c r="H16" i="5"/>
  <c r="H17" i="5"/>
  <c r="H31" i="5"/>
  <c r="C8" i="10"/>
  <c r="P8" i="10" s="1"/>
  <c r="D8" i="7"/>
  <c r="L8" i="6"/>
  <c r="T8" i="6" s="1"/>
  <c r="AB8" i="6" s="1"/>
  <c r="E92" i="4"/>
  <c r="E81" i="4"/>
  <c r="AD31" i="7"/>
  <c r="AB41" i="7"/>
  <c r="AD41" i="7" s="1"/>
  <c r="X75" i="11"/>
  <c r="X76" i="11" s="1"/>
  <c r="F84" i="3"/>
  <c r="F82" i="3"/>
  <c r="F81" i="3"/>
  <c r="F83" i="3"/>
  <c r="T5" i="7"/>
  <c r="K31" i="3"/>
  <c r="K26" i="3"/>
  <c r="U5" i="7" s="1"/>
  <c r="J36" i="3"/>
  <c r="J41" i="3"/>
  <c r="W56" i="2"/>
  <c r="M41" i="9"/>
  <c r="P41" i="9" s="1"/>
  <c r="P31" i="9"/>
  <c r="C136" i="4"/>
  <c r="Y75" i="11"/>
  <c r="M44" i="12" l="1"/>
  <c r="Y44" i="12"/>
  <c r="J44" i="12"/>
  <c r="X44" i="12"/>
  <c r="I44" i="12"/>
  <c r="V44" i="12"/>
  <c r="G44" i="12"/>
  <c r="U44" i="12"/>
  <c r="F44" i="12"/>
  <c r="T44" i="12"/>
  <c r="E44" i="12"/>
  <c r="B45" i="12"/>
  <c r="Z44" i="12"/>
  <c r="W44" i="12"/>
  <c r="S44" i="12"/>
  <c r="R44" i="12"/>
  <c r="Q44" i="12"/>
  <c r="P44" i="12"/>
  <c r="K44" i="12"/>
  <c r="H44" i="12"/>
  <c r="D44" i="12"/>
  <c r="C44" i="12"/>
  <c r="L44" i="12"/>
  <c r="J42" i="4"/>
  <c r="J28" i="4"/>
  <c r="K26" i="4"/>
  <c r="J27" i="4"/>
  <c r="A138" i="4"/>
  <c r="B137" i="4"/>
  <c r="D137" i="4"/>
  <c r="C137" i="4"/>
  <c r="AB5" i="7"/>
  <c r="L26" i="3"/>
  <c r="AC5" i="7" s="1"/>
  <c r="L31" i="3"/>
  <c r="M62" i="12"/>
  <c r="Z62" i="12"/>
  <c r="K62" i="12"/>
  <c r="Y62" i="12"/>
  <c r="J62" i="12"/>
  <c r="X62" i="12"/>
  <c r="I62" i="12"/>
  <c r="V62" i="12"/>
  <c r="G62" i="12"/>
  <c r="T62" i="12"/>
  <c r="Q62" i="12"/>
  <c r="P62" i="12"/>
  <c r="L62" i="12"/>
  <c r="H62" i="12"/>
  <c r="F62" i="12"/>
  <c r="B63" i="12"/>
  <c r="W62" i="12"/>
  <c r="S62" i="12"/>
  <c r="U62" i="12"/>
  <c r="R62" i="12"/>
  <c r="D62" i="12"/>
  <c r="E62" i="12"/>
  <c r="C62" i="12"/>
  <c r="M231" i="4"/>
  <c r="Z231" i="4" s="1" a="1"/>
  <c r="Z231" i="4" s="1"/>
  <c r="I228" i="4" a="1"/>
  <c r="I228" i="4" s="1"/>
  <c r="V228" i="4" s="1" a="1"/>
  <c r="V228" i="4" s="1"/>
  <c r="J227" i="4"/>
  <c r="I229" i="4" a="1"/>
  <c r="I229" i="4" s="1"/>
  <c r="V229" i="4" s="1" a="1"/>
  <c r="V229" i="4" s="1"/>
  <c r="I230" i="4" a="1"/>
  <c r="I230" i="4" s="1"/>
  <c r="V230" i="4" s="1" a="1"/>
  <c r="V230" i="4" s="1"/>
  <c r="I231" i="4" a="1"/>
  <c r="I231" i="4" s="1"/>
  <c r="V231" i="4" s="1" a="1"/>
  <c r="V231" i="4" s="1"/>
  <c r="AG54" i="11"/>
  <c r="K36" i="3"/>
  <c r="K41" i="3"/>
  <c r="J153" i="4"/>
  <c r="J158" i="4"/>
  <c r="J152" i="4"/>
  <c r="K144" i="4"/>
  <c r="J147" i="4"/>
  <c r="J148" i="4"/>
  <c r="J157" i="4"/>
  <c r="J155" i="4"/>
  <c r="J154" i="4"/>
  <c r="J156" i="4"/>
  <c r="J150" i="4"/>
  <c r="J151" i="4"/>
  <c r="J149" i="4"/>
  <c r="J145" i="4"/>
  <c r="AB231" i="4" a="1"/>
  <c r="AB231" i="4" s="1"/>
  <c r="T100" i="12"/>
  <c r="E100" i="12"/>
  <c r="R100" i="12"/>
  <c r="C100" i="12"/>
  <c r="Q100" i="12"/>
  <c r="P100" i="12"/>
  <c r="M100" i="12"/>
  <c r="S100" i="12"/>
  <c r="L100" i="12"/>
  <c r="K100" i="12"/>
  <c r="J100" i="12"/>
  <c r="H100" i="12"/>
  <c r="B101" i="12"/>
  <c r="G100" i="12"/>
  <c r="Z100" i="12"/>
  <c r="F100" i="12"/>
  <c r="Y100" i="12"/>
  <c r="X100" i="12"/>
  <c r="W100" i="12"/>
  <c r="V100" i="12"/>
  <c r="I100" i="12"/>
  <c r="D100" i="12"/>
  <c r="U100" i="12"/>
  <c r="F92" i="4"/>
  <c r="F81" i="4"/>
  <c r="W65" i="2"/>
  <c r="C65" i="2"/>
  <c r="W69" i="2"/>
  <c r="W55" i="2"/>
  <c r="W71" i="2"/>
  <c r="L8" i="7"/>
  <c r="T8" i="7" s="1"/>
  <c r="AB8" i="7" s="1"/>
  <c r="D8" i="8"/>
  <c r="L8" i="8" s="1"/>
  <c r="T8" i="8" s="1"/>
  <c r="AB8" i="8" s="1"/>
  <c r="D8" i="9"/>
  <c r="L8" i="9" s="1"/>
  <c r="T8" i="9" s="1"/>
  <c r="AB8" i="9" s="1"/>
  <c r="W58" i="2"/>
  <c r="B14" i="3"/>
  <c r="A27" i="2"/>
  <c r="A16" i="4"/>
  <c r="A11" i="2"/>
  <c r="K24" i="2"/>
  <c r="H232" i="4" a="1"/>
  <c r="H232" i="4" s="1"/>
  <c r="U232" i="4" s="1" a="1"/>
  <c r="U232" i="4" s="1"/>
  <c r="AH232" i="4" s="1" a="1"/>
  <c r="AH232" i="4" s="1"/>
  <c r="B232" i="4" a="1"/>
  <c r="B232" i="4" s="1"/>
  <c r="O232" i="4" s="1" a="1"/>
  <c r="O232" i="4" s="1"/>
  <c r="G232" i="4" a="1"/>
  <c r="G232" i="4" s="1"/>
  <c r="T232" i="4" s="1" a="1"/>
  <c r="T232" i="4" s="1"/>
  <c r="AG232" i="4" s="1" a="1"/>
  <c r="AG232" i="4" s="1"/>
  <c r="F232" i="4" a="1"/>
  <c r="F232" i="4" s="1"/>
  <c r="S232" i="4" s="1" a="1"/>
  <c r="S232" i="4" s="1"/>
  <c r="AF232" i="4" s="1" a="1"/>
  <c r="AF232" i="4" s="1"/>
  <c r="C232" i="4" a="1"/>
  <c r="C232" i="4" s="1"/>
  <c r="P232" i="4" s="1" a="1"/>
  <c r="P232" i="4" s="1"/>
  <c r="AC232" i="4" s="1" a="1"/>
  <c r="AC232" i="4" s="1"/>
  <c r="J232" i="4" a="1"/>
  <c r="J232" i="4" s="1"/>
  <c r="W232" i="4" s="1" a="1"/>
  <c r="W232" i="4" s="1"/>
  <c r="A233" i="4"/>
  <c r="I232" i="4" a="1"/>
  <c r="I232" i="4" s="1"/>
  <c r="V232" i="4" s="1" a="1"/>
  <c r="V232" i="4" s="1"/>
  <c r="E232" i="4" a="1"/>
  <c r="E232" i="4" s="1"/>
  <c r="R232" i="4" s="1" a="1"/>
  <c r="R232" i="4" s="1"/>
  <c r="AE232" i="4" s="1" a="1"/>
  <c r="AE232" i="4" s="1"/>
  <c r="D232" i="4" a="1"/>
  <c r="D232" i="4" s="1"/>
  <c r="Q232" i="4" s="1" a="1"/>
  <c r="Q232" i="4" s="1"/>
  <c r="AD232" i="4" s="1" a="1"/>
  <c r="AD232" i="4" s="1"/>
  <c r="B117" i="4"/>
  <c r="B118" i="4" s="1"/>
  <c r="C117" i="4"/>
  <c r="C118" i="4" s="1"/>
  <c r="F87" i="4"/>
  <c r="F98" i="4"/>
  <c r="X81" i="12"/>
  <c r="I81" i="12"/>
  <c r="V81" i="12"/>
  <c r="G81" i="12"/>
  <c r="U81" i="12"/>
  <c r="F81" i="12"/>
  <c r="T81" i="12"/>
  <c r="E81" i="12"/>
  <c r="R81" i="12"/>
  <c r="C81" i="12"/>
  <c r="W81" i="12"/>
  <c r="P81" i="12"/>
  <c r="L81" i="12"/>
  <c r="K81" i="12"/>
  <c r="J81" i="12"/>
  <c r="B82" i="12"/>
  <c r="Z81" i="12"/>
  <c r="Y81" i="12"/>
  <c r="S81" i="12"/>
  <c r="Q81" i="12"/>
  <c r="M81" i="12"/>
  <c r="D81" i="12"/>
  <c r="H81" i="12"/>
  <c r="E60" i="4" a="1"/>
  <c r="E60" i="4" s="1"/>
  <c r="G221" i="4"/>
  <c r="F222" i="4" a="1"/>
  <c r="F222" i="4" s="1"/>
  <c r="S222" i="4" s="1" a="1"/>
  <c r="S222" i="4" s="1"/>
  <c r="F224" i="4" a="1"/>
  <c r="F224" i="4" s="1"/>
  <c r="S224" i="4" s="1" a="1"/>
  <c r="S224" i="4" s="1"/>
  <c r="F223" i="4" a="1"/>
  <c r="F223" i="4" s="1"/>
  <c r="S223" i="4" s="1" a="1"/>
  <c r="S223" i="4" s="1"/>
  <c r="F225" i="4" a="1"/>
  <c r="F225" i="4" s="1"/>
  <c r="S225" i="4" s="1" a="1"/>
  <c r="S225" i="4" s="1"/>
  <c r="F130" i="4"/>
  <c r="F131" i="4"/>
  <c r="F132" i="4"/>
  <c r="F133" i="4"/>
  <c r="F137" i="4"/>
  <c r="F138" i="4"/>
  <c r="F136" i="4"/>
  <c r="F134" i="4"/>
  <c r="F135" i="4"/>
  <c r="B72" i="2"/>
  <c r="Y26" i="2" s="1"/>
  <c r="F82" i="4"/>
  <c r="F93" i="4"/>
  <c r="G128" i="4"/>
  <c r="H124" i="4"/>
  <c r="G126" i="4" a="1"/>
  <c r="G126" i="4" s="1"/>
  <c r="G125" i="4"/>
  <c r="G100" i="4" a="1"/>
  <c r="G100" i="4" s="1"/>
  <c r="H61" i="4"/>
  <c r="G71" i="4"/>
  <c r="G65" i="4"/>
  <c r="G62" i="4"/>
  <c r="G75" i="4"/>
  <c r="G89" i="4"/>
  <c r="G86" i="4"/>
  <c r="G97" i="4" s="1"/>
  <c r="G85" i="4"/>
  <c r="G96" i="4" s="1"/>
  <c r="G64" i="4"/>
  <c r="G78" i="4"/>
  <c r="G88" i="4" s="1"/>
  <c r="G99" i="4" s="1"/>
  <c r="G67" i="4"/>
  <c r="G68" i="4" s="1"/>
  <c r="G63" i="4"/>
  <c r="G73" i="4"/>
  <c r="G83" i="4" s="1"/>
  <c r="G94" i="4" s="1"/>
  <c r="G72" i="4"/>
  <c r="G70" i="4"/>
  <c r="G80" i="4" s="1"/>
  <c r="G91" i="4" s="1"/>
  <c r="G74" i="4"/>
  <c r="G84" i="4" s="1"/>
  <c r="G95" i="4" s="1"/>
  <c r="G76" i="4"/>
  <c r="G66" i="4"/>
  <c r="G77" i="4"/>
  <c r="G69" i="4"/>
  <c r="G79" i="4" s="1"/>
  <c r="G90" i="4" s="1"/>
  <c r="J15" i="5"/>
  <c r="I16" i="5"/>
  <c r="I44" i="5"/>
  <c r="I31" i="5"/>
  <c r="I17" i="5"/>
  <c r="Y76" i="11"/>
  <c r="AG51" i="11" s="1"/>
  <c r="L23" i="2" l="1"/>
  <c r="E25" i="2"/>
  <c r="S24" i="2"/>
  <c r="Y24" i="2"/>
  <c r="O26" i="2"/>
  <c r="I26" i="2"/>
  <c r="B119" i="4"/>
  <c r="C119" i="4"/>
  <c r="K26" i="2"/>
  <c r="O23" i="2"/>
  <c r="X25" i="2"/>
  <c r="S27" i="2"/>
  <c r="E27" i="2"/>
  <c r="Y27" i="2"/>
  <c r="F27" i="2"/>
  <c r="X27" i="2"/>
  <c r="L27" i="2"/>
  <c r="R27" i="2"/>
  <c r="P27" i="2"/>
  <c r="N27" i="2"/>
  <c r="K27" i="2"/>
  <c r="O27" i="2"/>
  <c r="M27" i="2"/>
  <c r="I27" i="2"/>
  <c r="H27" i="2"/>
  <c r="P26" i="2"/>
  <c r="AG50" i="11"/>
  <c r="L25" i="2"/>
  <c r="R25" i="2"/>
  <c r="F24" i="2"/>
  <c r="A17" i="4"/>
  <c r="B15" i="3"/>
  <c r="A12" i="2"/>
  <c r="A28" i="2"/>
  <c r="M26" i="2"/>
  <c r="H25" i="2"/>
  <c r="AG52" i="11"/>
  <c r="R23" i="2"/>
  <c r="G98" i="4"/>
  <c r="G87" i="4"/>
  <c r="Y25" i="2"/>
  <c r="R24" i="2"/>
  <c r="N26" i="2"/>
  <c r="X101" i="12"/>
  <c r="I101" i="12"/>
  <c r="V101" i="12"/>
  <c r="G101" i="12"/>
  <c r="U101" i="12"/>
  <c r="F101" i="12"/>
  <c r="T101" i="12"/>
  <c r="E101" i="12"/>
  <c r="R101" i="12"/>
  <c r="C101" i="12"/>
  <c r="L101" i="12"/>
  <c r="K101" i="12"/>
  <c r="J101" i="12"/>
  <c r="D101" i="12"/>
  <c r="B102" i="12"/>
  <c r="Z101" i="12"/>
  <c r="M101" i="12"/>
  <c r="H101" i="12"/>
  <c r="S101" i="12"/>
  <c r="Q101" i="12"/>
  <c r="P101" i="12"/>
  <c r="Y101" i="12"/>
  <c r="W101" i="12"/>
  <c r="AG53" i="11"/>
  <c r="I24" i="2"/>
  <c r="M232" i="4"/>
  <c r="Z232" i="4" s="1" a="1"/>
  <c r="Z232" i="4" s="1"/>
  <c r="K153" i="4"/>
  <c r="K152" i="4"/>
  <c r="L144" i="4"/>
  <c r="K147" i="4"/>
  <c r="K150" i="4"/>
  <c r="K157" i="4"/>
  <c r="K155" i="4"/>
  <c r="K154" i="4"/>
  <c r="K156" i="4"/>
  <c r="K158" i="4"/>
  <c r="K151" i="4"/>
  <c r="K145" i="4"/>
  <c r="K148" i="4"/>
  <c r="K149" i="4"/>
  <c r="L24" i="2"/>
  <c r="E23" i="2"/>
  <c r="E26" i="2"/>
  <c r="F26" i="2"/>
  <c r="G131" i="4"/>
  <c r="G132" i="4"/>
  <c r="G133" i="4"/>
  <c r="G134" i="4"/>
  <c r="G138" i="4"/>
  <c r="G136" i="4"/>
  <c r="G135" i="4"/>
  <c r="G137" i="4"/>
  <c r="G130" i="4"/>
  <c r="G139" i="4"/>
  <c r="AB232" i="4" a="1"/>
  <c r="AB232" i="4" s="1"/>
  <c r="O24" i="2"/>
  <c r="F23" i="2"/>
  <c r="R63" i="12"/>
  <c r="C63" i="12"/>
  <c r="P63" i="12"/>
  <c r="M63" i="12"/>
  <c r="Z63" i="12"/>
  <c r="K63" i="12"/>
  <c r="T63" i="12"/>
  <c r="L63" i="12"/>
  <c r="J63" i="12"/>
  <c r="H63" i="12"/>
  <c r="G63" i="12"/>
  <c r="B64" i="12"/>
  <c r="F63" i="12"/>
  <c r="Q63" i="12"/>
  <c r="I63" i="12"/>
  <c r="E63" i="12"/>
  <c r="D63" i="12"/>
  <c r="V63" i="12"/>
  <c r="U63" i="12"/>
  <c r="S63" i="12"/>
  <c r="Y63" i="12"/>
  <c r="W63" i="12"/>
  <c r="X63" i="12"/>
  <c r="A139" i="4"/>
  <c r="B138" i="4"/>
  <c r="C138" i="4"/>
  <c r="D138" i="4"/>
  <c r="E138" i="4"/>
  <c r="A234" i="4"/>
  <c r="E233" i="4" a="1"/>
  <c r="E233" i="4" s="1"/>
  <c r="R233" i="4" s="1" a="1"/>
  <c r="R233" i="4" s="1"/>
  <c r="AE233" i="4" s="1" a="1"/>
  <c r="AE233" i="4" s="1"/>
  <c r="K233" i="4" a="1"/>
  <c r="K233" i="4" s="1"/>
  <c r="X233" i="4" s="1" a="1"/>
  <c r="X233" i="4" s="1"/>
  <c r="D233" i="4" a="1"/>
  <c r="D233" i="4" s="1"/>
  <c r="Q233" i="4" s="1" a="1"/>
  <c r="Q233" i="4" s="1"/>
  <c r="AD233" i="4" s="1" a="1"/>
  <c r="AD233" i="4" s="1"/>
  <c r="J233" i="4" a="1"/>
  <c r="J233" i="4" s="1"/>
  <c r="W233" i="4" s="1" a="1"/>
  <c r="W233" i="4" s="1"/>
  <c r="C233" i="4" a="1"/>
  <c r="C233" i="4" s="1"/>
  <c r="P233" i="4" s="1" a="1"/>
  <c r="P233" i="4" s="1"/>
  <c r="AC233" i="4" s="1" a="1"/>
  <c r="AC233" i="4" s="1"/>
  <c r="H233" i="4" a="1"/>
  <c r="H233" i="4" s="1"/>
  <c r="U233" i="4" s="1" a="1"/>
  <c r="U233" i="4" s="1"/>
  <c r="AH233" i="4" s="1" a="1"/>
  <c r="AH233" i="4" s="1"/>
  <c r="I233" i="4" a="1"/>
  <c r="I233" i="4" s="1"/>
  <c r="V233" i="4" s="1" a="1"/>
  <c r="V233" i="4" s="1"/>
  <c r="G233" i="4" a="1"/>
  <c r="G233" i="4" s="1"/>
  <c r="T233" i="4" s="1" a="1"/>
  <c r="T233" i="4" s="1"/>
  <c r="AG233" i="4" s="1" a="1"/>
  <c r="AG233" i="4" s="1"/>
  <c r="F233" i="4" a="1"/>
  <c r="F233" i="4" s="1"/>
  <c r="S233" i="4" s="1" a="1"/>
  <c r="S233" i="4" s="1"/>
  <c r="AF233" i="4" s="1" a="1"/>
  <c r="AF233" i="4" s="1"/>
  <c r="B233" i="4" a="1"/>
  <c r="B233" i="4" s="1"/>
  <c r="O233" i="4" s="1" a="1"/>
  <c r="O233" i="4" s="1"/>
  <c r="W72" i="2"/>
  <c r="C72" i="2"/>
  <c r="E24" i="2"/>
  <c r="O25" i="2"/>
  <c r="M23" i="2"/>
  <c r="N24" i="2"/>
  <c r="P23" i="2"/>
  <c r="S23" i="2"/>
  <c r="M25" i="2"/>
  <c r="P25" i="2"/>
  <c r="H24" i="2"/>
  <c r="M24" i="2"/>
  <c r="N25" i="2"/>
  <c r="H89" i="4"/>
  <c r="H75" i="4"/>
  <c r="H77" i="4"/>
  <c r="H71" i="4"/>
  <c r="H65" i="4"/>
  <c r="H62" i="4"/>
  <c r="H67" i="4"/>
  <c r="H68" i="4" s="1"/>
  <c r="H63" i="4"/>
  <c r="H66" i="4"/>
  <c r="H78" i="4"/>
  <c r="H88" i="4" s="1"/>
  <c r="H99" i="4" s="1"/>
  <c r="H72" i="4"/>
  <c r="H86" i="4"/>
  <c r="H97" i="4" s="1"/>
  <c r="H69" i="4"/>
  <c r="H79" i="4" s="1"/>
  <c r="H90" i="4" s="1"/>
  <c r="I61" i="4"/>
  <c r="H70" i="4"/>
  <c r="H80" i="4" s="1"/>
  <c r="H91" i="4" s="1"/>
  <c r="H74" i="4"/>
  <c r="H84" i="4" s="1"/>
  <c r="H95" i="4" s="1"/>
  <c r="H76" i="4"/>
  <c r="H64" i="4"/>
  <c r="H85" i="4"/>
  <c r="H96" i="4" s="1"/>
  <c r="H73" i="4"/>
  <c r="H83" i="4" s="1"/>
  <c r="H94" i="4" s="1"/>
  <c r="X23" i="2"/>
  <c r="R26" i="2"/>
  <c r="H23" i="2"/>
  <c r="F25" i="2"/>
  <c r="I23" i="2"/>
  <c r="H26" i="2"/>
  <c r="J26" i="2" s="1"/>
  <c r="J228" i="4" a="1"/>
  <c r="J228" i="4" s="1"/>
  <c r="W228" i="4" s="1" a="1"/>
  <c r="W228" i="4" s="1"/>
  <c r="K227" i="4"/>
  <c r="J229" i="4" a="1"/>
  <c r="J229" i="4" s="1"/>
  <c r="W229" i="4" s="1" a="1"/>
  <c r="W229" i="4" s="1"/>
  <c r="J230" i="4" a="1"/>
  <c r="J230" i="4" s="1"/>
  <c r="W230" i="4" s="1" a="1"/>
  <c r="W230" i="4" s="1"/>
  <c r="J231" i="4" a="1"/>
  <c r="J231" i="4" s="1"/>
  <c r="W231" i="4" s="1" a="1"/>
  <c r="W231" i="4" s="1"/>
  <c r="G92" i="4"/>
  <c r="G81" i="4"/>
  <c r="X24" i="2"/>
  <c r="Y23" i="2"/>
  <c r="X26" i="2"/>
  <c r="N23" i="2"/>
  <c r="G93" i="4"/>
  <c r="G82" i="4"/>
  <c r="H128" i="4"/>
  <c r="H126" i="4" a="1"/>
  <c r="H126" i="4" s="1"/>
  <c r="I124" i="4"/>
  <c r="H125" i="4"/>
  <c r="G222" i="4" a="1"/>
  <c r="G222" i="4" s="1"/>
  <c r="T222" i="4" s="1" a="1"/>
  <c r="T222" i="4" s="1"/>
  <c r="H221" i="4"/>
  <c r="G224" i="4" a="1"/>
  <c r="G224" i="4" s="1"/>
  <c r="T224" i="4" s="1" a="1"/>
  <c r="T224" i="4" s="1"/>
  <c r="G223" i="4" a="1"/>
  <c r="G223" i="4" s="1"/>
  <c r="T223" i="4" s="1" a="1"/>
  <c r="T223" i="4" s="1"/>
  <c r="G225" i="4" a="1"/>
  <c r="G225" i="4" s="1"/>
  <c r="T225" i="4" s="1" a="1"/>
  <c r="T225" i="4" s="1"/>
  <c r="M82" i="12"/>
  <c r="Z82" i="12"/>
  <c r="K82" i="12"/>
  <c r="Y82" i="12"/>
  <c r="J82" i="12"/>
  <c r="X82" i="12"/>
  <c r="I82" i="12"/>
  <c r="V82" i="12"/>
  <c r="G82" i="12"/>
  <c r="S82" i="12"/>
  <c r="P82" i="12"/>
  <c r="H82" i="12"/>
  <c r="F82" i="12"/>
  <c r="E82" i="12"/>
  <c r="B83" i="12"/>
  <c r="U82" i="12"/>
  <c r="W82" i="12"/>
  <c r="T82" i="12"/>
  <c r="R82" i="12"/>
  <c r="Q82" i="12"/>
  <c r="D82" i="12"/>
  <c r="L82" i="12"/>
  <c r="C82" i="12"/>
  <c r="S26" i="2"/>
  <c r="K25" i="2"/>
  <c r="P24" i="2"/>
  <c r="I25" i="2"/>
  <c r="J16" i="5"/>
  <c r="K15" i="5"/>
  <c r="J44" i="5"/>
  <c r="J31" i="5"/>
  <c r="J17" i="5"/>
  <c r="K23" i="2"/>
  <c r="L26" i="2"/>
  <c r="L26" i="4"/>
  <c r="K42" i="4"/>
  <c r="K27" i="4"/>
  <c r="K28" i="4"/>
  <c r="R45" i="12"/>
  <c r="C45" i="12"/>
  <c r="M45" i="12"/>
  <c r="Z45" i="12"/>
  <c r="K45" i="12"/>
  <c r="Y45" i="12"/>
  <c r="J45" i="12"/>
  <c r="X45" i="12"/>
  <c r="I45" i="12"/>
  <c r="B46" i="12"/>
  <c r="W45" i="12"/>
  <c r="V45" i="12"/>
  <c r="U45" i="12"/>
  <c r="T45" i="12"/>
  <c r="S45" i="12"/>
  <c r="P45" i="12"/>
  <c r="Q45" i="12"/>
  <c r="L45" i="12"/>
  <c r="H45" i="12"/>
  <c r="G45" i="12"/>
  <c r="F45" i="12"/>
  <c r="E45" i="12"/>
  <c r="D45" i="12"/>
  <c r="S25" i="2"/>
  <c r="J24" i="2" l="1"/>
  <c r="K16" i="5"/>
  <c r="K31" i="5"/>
  <c r="K17" i="5"/>
  <c r="K44" i="5"/>
  <c r="L15" i="5"/>
  <c r="H92" i="4"/>
  <c r="H81" i="4"/>
  <c r="L28" i="2"/>
  <c r="O28" i="2"/>
  <c r="N28" i="2"/>
  <c r="X28" i="2"/>
  <c r="M28" i="2"/>
  <c r="K28" i="2"/>
  <c r="F28" i="2"/>
  <c r="I28" i="2"/>
  <c r="Y28" i="2"/>
  <c r="E28" i="2"/>
  <c r="H28" i="2"/>
  <c r="R28" i="2"/>
  <c r="P28" i="2"/>
  <c r="S28" i="2"/>
  <c r="I75" i="4"/>
  <c r="I89" i="4"/>
  <c r="I74" i="4"/>
  <c r="I84" i="4" s="1"/>
  <c r="I95" i="4" s="1"/>
  <c r="I72" i="4"/>
  <c r="I70" i="4"/>
  <c r="I80" i="4" s="1"/>
  <c r="I91" i="4" s="1"/>
  <c r="I78" i="4"/>
  <c r="I88" i="4" s="1"/>
  <c r="I99" i="4" s="1"/>
  <c r="I71" i="4"/>
  <c r="I67" i="4"/>
  <c r="I68" i="4" s="1"/>
  <c r="I85" i="4"/>
  <c r="I96" i="4" s="1"/>
  <c r="I62" i="4"/>
  <c r="I77" i="4"/>
  <c r="I73" i="4"/>
  <c r="I83" i="4" s="1"/>
  <c r="I94" i="4" s="1"/>
  <c r="I69" i="4"/>
  <c r="I79" i="4" s="1"/>
  <c r="I90" i="4" s="1"/>
  <c r="I76" i="4"/>
  <c r="I66" i="4"/>
  <c r="I64" i="4"/>
  <c r="I86" i="4"/>
  <c r="I97" i="4" s="1"/>
  <c r="I65" i="4"/>
  <c r="I63" i="4"/>
  <c r="J61" i="4"/>
  <c r="I128" i="4"/>
  <c r="J124" i="4"/>
  <c r="I126" i="4" a="1"/>
  <c r="I126" i="4" s="1"/>
  <c r="I125" i="4"/>
  <c r="H98" i="4"/>
  <c r="H87" i="4"/>
  <c r="A140" i="4"/>
  <c r="B139" i="4"/>
  <c r="D139" i="4"/>
  <c r="C139" i="4"/>
  <c r="E139" i="4"/>
  <c r="F139" i="4"/>
  <c r="AB233" i="4" a="1"/>
  <c r="AB233" i="4" s="1"/>
  <c r="L233" i="4"/>
  <c r="Y233" i="4" s="1" a="1"/>
  <c r="Y233" i="4" s="1"/>
  <c r="L154" i="4"/>
  <c r="L147" i="4"/>
  <c r="L157" i="4"/>
  <c r="L150" i="4"/>
  <c r="L151" i="4"/>
  <c r="L155" i="4"/>
  <c r="L156" i="4"/>
  <c r="L153" i="4"/>
  <c r="L158" i="4"/>
  <c r="L152" i="4"/>
  <c r="L145" i="4"/>
  <c r="L149" i="4"/>
  <c r="M144" i="4"/>
  <c r="L148" i="4"/>
  <c r="B16" i="3"/>
  <c r="A13" i="2"/>
  <c r="A18" i="4"/>
  <c r="A29" i="2"/>
  <c r="V46" i="12"/>
  <c r="G46" i="12"/>
  <c r="S46" i="12"/>
  <c r="D46" i="12"/>
  <c r="R46" i="12"/>
  <c r="C46" i="12"/>
  <c r="P46" i="12"/>
  <c r="M46" i="12"/>
  <c r="Z46" i="12"/>
  <c r="Y46" i="12"/>
  <c r="X46" i="12"/>
  <c r="W46" i="12"/>
  <c r="U46" i="12"/>
  <c r="T46" i="12"/>
  <c r="L46" i="12"/>
  <c r="Q46" i="12"/>
  <c r="I46" i="12"/>
  <c r="H46" i="12"/>
  <c r="F46" i="12"/>
  <c r="E46" i="12"/>
  <c r="B47" i="12"/>
  <c r="K46" i="12"/>
  <c r="J46" i="12"/>
  <c r="J25" i="2"/>
  <c r="J23" i="2"/>
  <c r="L27" i="4"/>
  <c r="M26" i="4"/>
  <c r="L42" i="4"/>
  <c r="L28" i="4"/>
  <c r="R83" i="12"/>
  <c r="C83" i="12"/>
  <c r="P83" i="12"/>
  <c r="M83" i="12"/>
  <c r="Z83" i="12"/>
  <c r="K83" i="12"/>
  <c r="S83" i="12"/>
  <c r="J83" i="12"/>
  <c r="I83" i="12"/>
  <c r="G83" i="12"/>
  <c r="B84" i="12"/>
  <c r="F83" i="12"/>
  <c r="Y83" i="12"/>
  <c r="E83" i="12"/>
  <c r="T83" i="12"/>
  <c r="Q83" i="12"/>
  <c r="L83" i="12"/>
  <c r="H83" i="12"/>
  <c r="D83" i="12"/>
  <c r="V83" i="12"/>
  <c r="U83" i="12"/>
  <c r="X83" i="12"/>
  <c r="W83" i="12"/>
  <c r="H100" i="4" a="1"/>
  <c r="H100" i="4" s="1"/>
  <c r="M102" i="12"/>
  <c r="Z102" i="12"/>
  <c r="K102" i="12"/>
  <c r="Y102" i="12"/>
  <c r="J102" i="12"/>
  <c r="X102" i="12"/>
  <c r="I102" i="12"/>
  <c r="V102" i="12"/>
  <c r="G102" i="12"/>
  <c r="H102" i="12"/>
  <c r="F102" i="12"/>
  <c r="E102" i="12"/>
  <c r="B103" i="12"/>
  <c r="C102" i="12"/>
  <c r="W102" i="12"/>
  <c r="U102" i="12"/>
  <c r="T102" i="12"/>
  <c r="S102" i="12"/>
  <c r="R102" i="12"/>
  <c r="Q102" i="12"/>
  <c r="L102" i="12"/>
  <c r="D102" i="12"/>
  <c r="P102" i="12"/>
  <c r="K228" i="4" a="1"/>
  <c r="K228" i="4" s="1"/>
  <c r="X228" i="4" s="1" a="1"/>
  <c r="X228" i="4" s="1"/>
  <c r="K229" i="4" a="1"/>
  <c r="K229" i="4" s="1"/>
  <c r="X229" i="4" s="1" a="1"/>
  <c r="X229" i="4" s="1"/>
  <c r="K230" i="4" a="1"/>
  <c r="K230" i="4" s="1"/>
  <c r="X230" i="4" s="1" a="1"/>
  <c r="X230" i="4" s="1"/>
  <c r="L230" i="4" s="1"/>
  <c r="Y230" i="4" s="1" a="1"/>
  <c r="Y230" i="4" s="1"/>
  <c r="K231" i="4" a="1"/>
  <c r="K231" i="4" s="1"/>
  <c r="X231" i="4" s="1" a="1"/>
  <c r="X231" i="4" s="1"/>
  <c r="L231" i="4" s="1"/>
  <c r="Y231" i="4" s="1" a="1"/>
  <c r="Y231" i="4" s="1"/>
  <c r="K232" i="4" a="1"/>
  <c r="K232" i="4" s="1"/>
  <c r="X232" i="4" s="1" a="1"/>
  <c r="X232" i="4" s="1"/>
  <c r="L232" i="4" s="1"/>
  <c r="Y232" i="4" s="1" a="1"/>
  <c r="Y232" i="4" s="1"/>
  <c r="L228" i="4"/>
  <c r="Y228" i="4" s="1" a="1"/>
  <c r="Y228" i="4" s="1"/>
  <c r="H234" i="4" a="1"/>
  <c r="H234" i="4" s="1"/>
  <c r="U234" i="4" s="1" a="1"/>
  <c r="U234" i="4" s="1"/>
  <c r="AH234" i="4" s="1" a="1"/>
  <c r="AH234" i="4" s="1"/>
  <c r="G234" i="4" a="1"/>
  <c r="G234" i="4" s="1"/>
  <c r="T234" i="4" s="1" a="1"/>
  <c r="T234" i="4" s="1"/>
  <c r="AG234" i="4" s="1" a="1"/>
  <c r="AG234" i="4" s="1"/>
  <c r="A235" i="4"/>
  <c r="B234" i="4" a="1"/>
  <c r="B234" i="4" s="1"/>
  <c r="O234" i="4" s="1" a="1"/>
  <c r="O234" i="4" s="1"/>
  <c r="K234" i="4" a="1"/>
  <c r="K234" i="4" s="1"/>
  <c r="X234" i="4" s="1" a="1"/>
  <c r="X234" i="4" s="1"/>
  <c r="I234" i="4" a="1"/>
  <c r="I234" i="4" s="1"/>
  <c r="V234" i="4" s="1" a="1"/>
  <c r="V234" i="4" s="1"/>
  <c r="F234" i="4" a="1"/>
  <c r="F234" i="4" s="1"/>
  <c r="S234" i="4" s="1" a="1"/>
  <c r="S234" i="4" s="1"/>
  <c r="AF234" i="4" s="1" a="1"/>
  <c r="AF234" i="4" s="1"/>
  <c r="J234" i="4" a="1"/>
  <c r="J234" i="4" s="1"/>
  <c r="W234" i="4" s="1" a="1"/>
  <c r="W234" i="4" s="1"/>
  <c r="D234" i="4" a="1"/>
  <c r="D234" i="4" s="1"/>
  <c r="Q234" i="4" s="1" a="1"/>
  <c r="Q234" i="4" s="1"/>
  <c r="AD234" i="4" s="1" a="1"/>
  <c r="AD234" i="4" s="1"/>
  <c r="C234" i="4" a="1"/>
  <c r="C234" i="4" s="1"/>
  <c r="P234" i="4" s="1" a="1"/>
  <c r="P234" i="4" s="1"/>
  <c r="AC234" i="4" s="1" a="1"/>
  <c r="AC234" i="4" s="1"/>
  <c r="E234" i="4" a="1"/>
  <c r="E234" i="4" s="1"/>
  <c r="R234" i="4" s="1" a="1"/>
  <c r="R234" i="4" s="1"/>
  <c r="AE234" i="4" s="1" a="1"/>
  <c r="AE234" i="4" s="1"/>
  <c r="L229" i="4"/>
  <c r="Y229" i="4" s="1" a="1"/>
  <c r="Y229" i="4" s="1"/>
  <c r="H82" i="4"/>
  <c r="H93" i="4"/>
  <c r="I221" i="4"/>
  <c r="H222" i="4" a="1"/>
  <c r="H222" i="4" s="1"/>
  <c r="U222" i="4" s="1" a="1"/>
  <c r="U222" i="4" s="1"/>
  <c r="H223" i="4" a="1"/>
  <c r="H223" i="4" s="1"/>
  <c r="U223" i="4" s="1" a="1"/>
  <c r="U223" i="4" s="1"/>
  <c r="H224" i="4" a="1"/>
  <c r="H224" i="4" s="1"/>
  <c r="U224" i="4" s="1" a="1"/>
  <c r="U224" i="4" s="1"/>
  <c r="H225" i="4" a="1"/>
  <c r="H225" i="4" s="1"/>
  <c r="U225" i="4" s="1" a="1"/>
  <c r="U225" i="4" s="1"/>
  <c r="H132" i="4"/>
  <c r="H133" i="4"/>
  <c r="H134" i="4"/>
  <c r="H135" i="4"/>
  <c r="H139" i="4"/>
  <c r="H136" i="4"/>
  <c r="H131" i="4"/>
  <c r="H138" i="4"/>
  <c r="H140" i="4"/>
  <c r="H137" i="4"/>
  <c r="H130" i="4"/>
  <c r="M233" i="4"/>
  <c r="Z233" i="4" s="1" a="1"/>
  <c r="Z233" i="4" s="1"/>
  <c r="V64" i="12"/>
  <c r="G64" i="12"/>
  <c r="T64" i="12"/>
  <c r="E64" i="12"/>
  <c r="S64" i="12"/>
  <c r="D64" i="12"/>
  <c r="R64" i="12"/>
  <c r="C64" i="12"/>
  <c r="P64" i="12"/>
  <c r="K64" i="12"/>
  <c r="J64" i="12"/>
  <c r="H64" i="12"/>
  <c r="B65" i="12"/>
  <c r="F64" i="12"/>
  <c r="Z64" i="12"/>
  <c r="Y64" i="12"/>
  <c r="X64" i="12"/>
  <c r="W64" i="12"/>
  <c r="U64" i="12"/>
  <c r="Q64" i="12"/>
  <c r="M64" i="12"/>
  <c r="I64" i="12"/>
  <c r="L64" i="12"/>
  <c r="J27" i="2"/>
  <c r="AB234" i="4" l="1" a="1"/>
  <c r="AB234" i="4" s="1"/>
  <c r="L234" i="4"/>
  <c r="Y234" i="4" s="1" a="1"/>
  <c r="Y234" i="4" s="1"/>
  <c r="B140" i="4"/>
  <c r="A141" i="4"/>
  <c r="I141" i="4" s="1"/>
  <c r="D140" i="4"/>
  <c r="C140" i="4"/>
  <c r="E140" i="4"/>
  <c r="F140" i="4"/>
  <c r="G140" i="4"/>
  <c r="J28" i="2"/>
  <c r="A236" i="4"/>
  <c r="E235" i="4" a="1"/>
  <c r="E235" i="4" s="1"/>
  <c r="R235" i="4" s="1" a="1"/>
  <c r="R235" i="4" s="1"/>
  <c r="AE235" i="4" s="1" a="1"/>
  <c r="AE235" i="4" s="1"/>
  <c r="K235" i="4" a="1"/>
  <c r="K235" i="4" s="1"/>
  <c r="X235" i="4" s="1" a="1"/>
  <c r="X235" i="4" s="1"/>
  <c r="D235" i="4" a="1"/>
  <c r="D235" i="4" s="1"/>
  <c r="Q235" i="4" s="1" a="1"/>
  <c r="Q235" i="4" s="1"/>
  <c r="AD235" i="4" s="1" a="1"/>
  <c r="AD235" i="4" s="1"/>
  <c r="J235" i="4" a="1"/>
  <c r="J235" i="4" s="1"/>
  <c r="W235" i="4" s="1" a="1"/>
  <c r="W235" i="4" s="1"/>
  <c r="C235" i="4" a="1"/>
  <c r="C235" i="4" s="1"/>
  <c r="P235" i="4" s="1" a="1"/>
  <c r="P235" i="4" s="1"/>
  <c r="AC235" i="4" s="1" a="1"/>
  <c r="AC235" i="4" s="1"/>
  <c r="H235" i="4" a="1"/>
  <c r="H235" i="4" s="1"/>
  <c r="U235" i="4" s="1" a="1"/>
  <c r="U235" i="4" s="1"/>
  <c r="AH235" i="4" s="1" a="1"/>
  <c r="AH235" i="4" s="1"/>
  <c r="B235" i="4" a="1"/>
  <c r="B235" i="4" s="1"/>
  <c r="O235" i="4" s="1" a="1"/>
  <c r="O235" i="4" s="1"/>
  <c r="I235" i="4" a="1"/>
  <c r="I235" i="4" s="1"/>
  <c r="V235" i="4" s="1" a="1"/>
  <c r="V235" i="4" s="1"/>
  <c r="G235" i="4" a="1"/>
  <c r="G235" i="4" s="1"/>
  <c r="T235" i="4" s="1" a="1"/>
  <c r="T235" i="4" s="1"/>
  <c r="AG235" i="4" s="1" a="1"/>
  <c r="AG235" i="4" s="1"/>
  <c r="F235" i="4" a="1"/>
  <c r="F235" i="4" s="1"/>
  <c r="S235" i="4" s="1" a="1"/>
  <c r="S235" i="4" s="1"/>
  <c r="AF235" i="4" s="1" a="1"/>
  <c r="AF235" i="4" s="1"/>
  <c r="M234" i="4"/>
  <c r="Z234" i="4" s="1" a="1"/>
  <c r="Z234" i="4" s="1"/>
  <c r="J126" i="4" a="1"/>
  <c r="J126" i="4" s="1"/>
  <c r="K124" i="4"/>
  <c r="J128" i="4"/>
  <c r="J125" i="4"/>
  <c r="Z65" i="12"/>
  <c r="K65" i="12"/>
  <c r="X65" i="12"/>
  <c r="I65" i="12"/>
  <c r="W65" i="12"/>
  <c r="H65" i="12"/>
  <c r="V65" i="12"/>
  <c r="G65" i="12"/>
  <c r="T65" i="12"/>
  <c r="E65" i="12"/>
  <c r="J65" i="12"/>
  <c r="F65" i="12"/>
  <c r="C65" i="12"/>
  <c r="B66" i="12"/>
  <c r="Y65" i="12"/>
  <c r="S65" i="12"/>
  <c r="U65" i="12"/>
  <c r="R65" i="12"/>
  <c r="Q65" i="12"/>
  <c r="M65" i="12"/>
  <c r="L65" i="12"/>
  <c r="P65" i="12"/>
  <c r="D65" i="12"/>
  <c r="M154" i="4"/>
  <c r="M147" i="4"/>
  <c r="M150" i="4"/>
  <c r="M155" i="4"/>
  <c r="M145" i="4"/>
  <c r="M157" i="4"/>
  <c r="M156" i="4"/>
  <c r="M153" i="4"/>
  <c r="M158" i="4"/>
  <c r="M152" i="4"/>
  <c r="M151" i="4"/>
  <c r="N144" i="4"/>
  <c r="M148" i="4"/>
  <c r="M149" i="4"/>
  <c r="V84" i="12"/>
  <c r="G84" i="12"/>
  <c r="T84" i="12"/>
  <c r="E84" i="12"/>
  <c r="S84" i="12"/>
  <c r="D84" i="12"/>
  <c r="R84" i="12"/>
  <c r="C84" i="12"/>
  <c r="P84" i="12"/>
  <c r="M84" i="12"/>
  <c r="J84" i="12"/>
  <c r="I84" i="12"/>
  <c r="B85" i="12"/>
  <c r="F84" i="12"/>
  <c r="Z84" i="12"/>
  <c r="Y84" i="12"/>
  <c r="X84" i="12"/>
  <c r="W84" i="12"/>
  <c r="U84" i="12"/>
  <c r="Q84" i="12"/>
  <c r="L84" i="12"/>
  <c r="K84" i="12"/>
  <c r="H84" i="12"/>
  <c r="I100" i="4" a="1"/>
  <c r="I100" i="4" s="1"/>
  <c r="N26" i="4"/>
  <c r="M42" i="4"/>
  <c r="M27" i="4"/>
  <c r="M28" i="4"/>
  <c r="I222" i="4" a="1"/>
  <c r="I222" i="4" s="1"/>
  <c r="V222" i="4" s="1" a="1"/>
  <c r="V222" i="4" s="1"/>
  <c r="J221" i="4"/>
  <c r="I223" i="4" a="1"/>
  <c r="I223" i="4" s="1"/>
  <c r="V223" i="4" s="1" a="1"/>
  <c r="V223" i="4" s="1"/>
  <c r="I224" i="4" a="1"/>
  <c r="I224" i="4" s="1"/>
  <c r="V224" i="4" s="1" a="1"/>
  <c r="V224" i="4" s="1"/>
  <c r="I225" i="4" a="1"/>
  <c r="I225" i="4" s="1"/>
  <c r="V225" i="4" s="1" a="1"/>
  <c r="V225" i="4" s="1"/>
  <c r="R103" i="12"/>
  <c r="C103" i="12"/>
  <c r="P103" i="12"/>
  <c r="M103" i="12"/>
  <c r="Z103" i="12"/>
  <c r="K103" i="12"/>
  <c r="I103" i="12"/>
  <c r="G103" i="12"/>
  <c r="B104" i="12"/>
  <c r="F103" i="12"/>
  <c r="Y103" i="12"/>
  <c r="E103" i="12"/>
  <c r="W103" i="12"/>
  <c r="V103" i="12"/>
  <c r="U103" i="12"/>
  <c r="H103" i="12"/>
  <c r="D103" i="12"/>
  <c r="X103" i="12"/>
  <c r="T103" i="12"/>
  <c r="S103" i="12"/>
  <c r="Q103" i="12"/>
  <c r="L103" i="12"/>
  <c r="J103" i="12"/>
  <c r="S29" i="2"/>
  <c r="E29" i="2"/>
  <c r="I29" i="2"/>
  <c r="H29" i="2"/>
  <c r="Y29" i="2"/>
  <c r="F29" i="2"/>
  <c r="X29" i="2"/>
  <c r="N29" i="2"/>
  <c r="R29" i="2"/>
  <c r="P29" i="2"/>
  <c r="O29" i="2"/>
  <c r="L29" i="2"/>
  <c r="K29" i="2"/>
  <c r="M29" i="2"/>
  <c r="L16" i="5"/>
  <c r="M15" i="5"/>
  <c r="L17" i="5"/>
  <c r="L31" i="5"/>
  <c r="L44" i="5"/>
  <c r="I92" i="4"/>
  <c r="I81" i="4"/>
  <c r="I93" i="4"/>
  <c r="I82" i="4"/>
  <c r="B17" i="3"/>
  <c r="A19" i="4"/>
  <c r="A30" i="2"/>
  <c r="A14" i="2"/>
  <c r="J77" i="4"/>
  <c r="J70" i="4"/>
  <c r="J80" i="4" s="1"/>
  <c r="J91" i="4" s="1"/>
  <c r="J63" i="4"/>
  <c r="J86" i="4"/>
  <c r="J97" i="4" s="1"/>
  <c r="J72" i="4"/>
  <c r="J75" i="4"/>
  <c r="J78" i="4"/>
  <c r="J88" i="4" s="1"/>
  <c r="J99" i="4" s="1"/>
  <c r="J74" i="4"/>
  <c r="J84" i="4" s="1"/>
  <c r="J95" i="4" s="1"/>
  <c r="J89" i="4"/>
  <c r="J73" i="4"/>
  <c r="J83" i="4" s="1"/>
  <c r="J94" i="4" s="1"/>
  <c r="J66" i="4"/>
  <c r="K61" i="4"/>
  <c r="J71" i="4"/>
  <c r="J85" i="4"/>
  <c r="J96" i="4" s="1"/>
  <c r="J62" i="4"/>
  <c r="J76" i="4"/>
  <c r="J64" i="4"/>
  <c r="J100" i="4" a="1"/>
  <c r="J100" i="4" s="1"/>
  <c r="J69" i="4"/>
  <c r="J79" i="4" s="1"/>
  <c r="J90" i="4" s="1"/>
  <c r="J67" i="4"/>
  <c r="J68" i="4" s="1"/>
  <c r="J65" i="4"/>
  <c r="M47" i="12"/>
  <c r="B48" i="12"/>
  <c r="K47" i="12"/>
  <c r="X47" i="12"/>
  <c r="H47" i="12"/>
  <c r="W47" i="12"/>
  <c r="G47" i="12"/>
  <c r="U47" i="12"/>
  <c r="E47" i="12"/>
  <c r="T47" i="12"/>
  <c r="D47" i="12"/>
  <c r="S47" i="12"/>
  <c r="C47" i="12"/>
  <c r="Z47" i="12"/>
  <c r="Y47" i="12"/>
  <c r="V47" i="12"/>
  <c r="R47" i="12"/>
  <c r="P47" i="12"/>
  <c r="Q47" i="12"/>
  <c r="L47" i="12"/>
  <c r="J47" i="12"/>
  <c r="I47" i="12"/>
  <c r="F47" i="12"/>
  <c r="I133" i="4"/>
  <c r="I134" i="4"/>
  <c r="I135" i="4"/>
  <c r="I136" i="4"/>
  <c r="I140" i="4"/>
  <c r="I131" i="4"/>
  <c r="I137" i="4"/>
  <c r="I139" i="4"/>
  <c r="I132" i="4"/>
  <c r="I130" i="4"/>
  <c r="I138" i="4"/>
  <c r="I98" i="4"/>
  <c r="I87" i="4"/>
  <c r="J98" i="4" l="1"/>
  <c r="J87" i="4"/>
  <c r="V104" i="12"/>
  <c r="G104" i="12"/>
  <c r="T104" i="12"/>
  <c r="E104" i="12"/>
  <c r="S104" i="12"/>
  <c r="D104" i="12"/>
  <c r="R104" i="12"/>
  <c r="C104" i="12"/>
  <c r="P104" i="12"/>
  <c r="I104" i="12"/>
  <c r="B105" i="12"/>
  <c r="F104" i="12"/>
  <c r="Z104" i="12"/>
  <c r="Y104" i="12"/>
  <c r="W104" i="12"/>
  <c r="U104" i="12"/>
  <c r="Q104" i="12"/>
  <c r="X104" i="12"/>
  <c r="M104" i="12"/>
  <c r="L104" i="12"/>
  <c r="K104" i="12"/>
  <c r="H104" i="12"/>
  <c r="J104" i="12"/>
  <c r="B18" i="3"/>
  <c r="A15" i="2"/>
  <c r="A20" i="4"/>
  <c r="A31" i="2"/>
  <c r="J81" i="4"/>
  <c r="J92" i="4"/>
  <c r="J134" i="4"/>
  <c r="J135" i="4"/>
  <c r="J136" i="4"/>
  <c r="J137" i="4"/>
  <c r="J141" i="4"/>
  <c r="J131" i="4"/>
  <c r="J139" i="4"/>
  <c r="J140" i="4"/>
  <c r="J133" i="4"/>
  <c r="J132" i="4"/>
  <c r="J130" i="4"/>
  <c r="J138" i="4"/>
  <c r="L125" i="4"/>
  <c r="Z85" i="12"/>
  <c r="K85" i="12"/>
  <c r="X85" i="12"/>
  <c r="I85" i="12"/>
  <c r="W85" i="12"/>
  <c r="H85" i="12"/>
  <c r="V85" i="12"/>
  <c r="G85" i="12"/>
  <c r="T85" i="12"/>
  <c r="E85" i="12"/>
  <c r="M85" i="12"/>
  <c r="F85" i="12"/>
  <c r="D85" i="12"/>
  <c r="B86" i="12"/>
  <c r="Y85" i="12"/>
  <c r="U85" i="12"/>
  <c r="J85" i="12"/>
  <c r="C85" i="12"/>
  <c r="S85" i="12"/>
  <c r="R85" i="12"/>
  <c r="Q85" i="12"/>
  <c r="L85" i="12"/>
  <c r="P85" i="12"/>
  <c r="M235" i="4"/>
  <c r="Z235" i="4" s="1" a="1"/>
  <c r="Z235" i="4" s="1"/>
  <c r="H56" i="2"/>
  <c r="H63" i="2"/>
  <c r="M16" i="5"/>
  <c r="M31" i="5"/>
  <c r="M17" i="5"/>
  <c r="M44" i="5"/>
  <c r="H62" i="2" s="1"/>
  <c r="N155" i="4"/>
  <c r="N148" i="4"/>
  <c r="N154" i="4"/>
  <c r="N150" i="4"/>
  <c r="N147" i="4"/>
  <c r="N157" i="4"/>
  <c r="N153" i="4"/>
  <c r="N158" i="4"/>
  <c r="N152" i="4"/>
  <c r="N151" i="4"/>
  <c r="O144" i="4"/>
  <c r="N149" i="4"/>
  <c r="N156" i="4"/>
  <c r="N145" i="4"/>
  <c r="H78" i="2"/>
  <c r="K126" i="4" a="1"/>
  <c r="K126" i="4" s="1"/>
  <c r="M125" i="4" s="1"/>
  <c r="K128" i="4"/>
  <c r="K125" i="4"/>
  <c r="P66" i="12"/>
  <c r="M66" i="12"/>
  <c r="B67" i="12"/>
  <c r="L66" i="12"/>
  <c r="Z66" i="12"/>
  <c r="K66" i="12"/>
  <c r="X66" i="12"/>
  <c r="I66" i="12"/>
  <c r="J66" i="12"/>
  <c r="F66" i="12"/>
  <c r="E66" i="12"/>
  <c r="W66" i="12"/>
  <c r="C66" i="12"/>
  <c r="V66" i="12"/>
  <c r="U66" i="12"/>
  <c r="R66" i="12"/>
  <c r="Q66" i="12"/>
  <c r="H66" i="12"/>
  <c r="G66" i="12"/>
  <c r="D66" i="12"/>
  <c r="Y66" i="12"/>
  <c r="T66" i="12"/>
  <c r="S66" i="12"/>
  <c r="B141" i="4"/>
  <c r="C141" i="4"/>
  <c r="D141" i="4"/>
  <c r="E141" i="4"/>
  <c r="F141" i="4"/>
  <c r="G141" i="4"/>
  <c r="H141" i="4"/>
  <c r="J29" i="2"/>
  <c r="J93" i="4"/>
  <c r="J82" i="4"/>
  <c r="AB235" i="4" a="1"/>
  <c r="AB235" i="4" s="1"/>
  <c r="L235" i="4"/>
  <c r="Y235" i="4" s="1" a="1"/>
  <c r="Y235" i="4" s="1"/>
  <c r="H236" i="4" a="1"/>
  <c r="H236" i="4" s="1"/>
  <c r="U236" i="4" s="1" a="1"/>
  <c r="U236" i="4" s="1"/>
  <c r="AH236" i="4" s="1" a="1"/>
  <c r="AH236" i="4" s="1"/>
  <c r="G236" i="4" a="1"/>
  <c r="G236" i="4" s="1"/>
  <c r="T236" i="4" s="1" a="1"/>
  <c r="T236" i="4" s="1"/>
  <c r="AG236" i="4" s="1" a="1"/>
  <c r="AG236" i="4" s="1"/>
  <c r="B236" i="4" a="1"/>
  <c r="B236" i="4" s="1"/>
  <c r="O236" i="4" s="1" a="1"/>
  <c r="O236" i="4" s="1"/>
  <c r="I236" i="4" a="1"/>
  <c r="I236" i="4" s="1"/>
  <c r="V236" i="4" s="1" a="1"/>
  <c r="V236" i="4" s="1"/>
  <c r="F236" i="4" a="1"/>
  <c r="F236" i="4" s="1"/>
  <c r="S236" i="4" s="1" a="1"/>
  <c r="S236" i="4" s="1"/>
  <c r="AF236" i="4" s="1" a="1"/>
  <c r="AF236" i="4" s="1"/>
  <c r="C236" i="4" a="1"/>
  <c r="C236" i="4" s="1"/>
  <c r="P236" i="4" s="1" a="1"/>
  <c r="P236" i="4" s="1"/>
  <c r="AC236" i="4" s="1" a="1"/>
  <c r="AC236" i="4" s="1"/>
  <c r="A237" i="4"/>
  <c r="K236" i="4" a="1"/>
  <c r="K236" i="4" s="1"/>
  <c r="X236" i="4" s="1" a="1"/>
  <c r="X236" i="4" s="1"/>
  <c r="E236" i="4" a="1"/>
  <c r="E236" i="4" s="1"/>
  <c r="R236" i="4" s="1" a="1"/>
  <c r="R236" i="4" s="1"/>
  <c r="AE236" i="4" s="1" a="1"/>
  <c r="AE236" i="4" s="1"/>
  <c r="J236" i="4" a="1"/>
  <c r="J236" i="4" s="1"/>
  <c r="W236" i="4" s="1" a="1"/>
  <c r="W236" i="4" s="1"/>
  <c r="D236" i="4" a="1"/>
  <c r="D236" i="4" s="1"/>
  <c r="Q236" i="4" s="1" a="1"/>
  <c r="Q236" i="4" s="1"/>
  <c r="AD236" i="4" s="1" a="1"/>
  <c r="AD236" i="4" s="1"/>
  <c r="R48" i="12"/>
  <c r="C48" i="12"/>
  <c r="S48" i="12"/>
  <c r="M48" i="12"/>
  <c r="B49" i="12"/>
  <c r="K48" i="12"/>
  <c r="Z48" i="12"/>
  <c r="J48" i="12"/>
  <c r="Y48" i="12"/>
  <c r="I48" i="12"/>
  <c r="E48" i="12"/>
  <c r="D48" i="12"/>
  <c r="X48" i="12"/>
  <c r="W48" i="12"/>
  <c r="V48" i="12"/>
  <c r="T48" i="12"/>
  <c r="U48" i="12"/>
  <c r="F48" i="12"/>
  <c r="P48" i="12"/>
  <c r="L48" i="12"/>
  <c r="H48" i="12"/>
  <c r="G48" i="12"/>
  <c r="Q48" i="12"/>
  <c r="J222" i="4" a="1"/>
  <c r="J222" i="4" s="1"/>
  <c r="W222" i="4" s="1" a="1"/>
  <c r="W222" i="4" s="1"/>
  <c r="K221" i="4"/>
  <c r="J224" i="4" a="1"/>
  <c r="J224" i="4" s="1"/>
  <c r="W224" i="4" s="1" a="1"/>
  <c r="W224" i="4" s="1"/>
  <c r="J223" i="4" a="1"/>
  <c r="J223" i="4" s="1"/>
  <c r="W223" i="4" s="1" a="1"/>
  <c r="W223" i="4" s="1"/>
  <c r="J225" i="4" a="1"/>
  <c r="J225" i="4" s="1"/>
  <c r="W225" i="4" s="1" a="1"/>
  <c r="W225" i="4" s="1"/>
  <c r="K78" i="4"/>
  <c r="K88" i="4" s="1"/>
  <c r="K99" i="4" s="1"/>
  <c r="K74" i="4"/>
  <c r="K84" i="4" s="1"/>
  <c r="K95" i="4" s="1"/>
  <c r="K70" i="4"/>
  <c r="K80" i="4" s="1"/>
  <c r="K91" i="4" s="1"/>
  <c r="K67" i="4"/>
  <c r="K68" i="4" s="1"/>
  <c r="K64" i="4"/>
  <c r="L61" i="4"/>
  <c r="K86" i="4"/>
  <c r="K97" i="4" s="1"/>
  <c r="K89" i="4"/>
  <c r="K76" i="4"/>
  <c r="K71" i="4"/>
  <c r="K69" i="4"/>
  <c r="K79" i="4" s="1"/>
  <c r="K90" i="4" s="1"/>
  <c r="K85" i="4"/>
  <c r="K96" i="4" s="1"/>
  <c r="K62" i="4"/>
  <c r="K75" i="4"/>
  <c r="K72" i="4"/>
  <c r="K63" i="4"/>
  <c r="K77" i="4"/>
  <c r="K65" i="4"/>
  <c r="K66" i="4"/>
  <c r="K73" i="4"/>
  <c r="K83" i="4" s="1"/>
  <c r="K94" i="4" s="1"/>
  <c r="L30" i="2"/>
  <c r="R30" i="2"/>
  <c r="H30" i="2"/>
  <c r="P30" i="2"/>
  <c r="O30" i="2"/>
  <c r="N30" i="2"/>
  <c r="M30" i="2"/>
  <c r="I30" i="2"/>
  <c r="K30" i="2"/>
  <c r="Y30" i="2"/>
  <c r="F30" i="2"/>
  <c r="E30" i="2"/>
  <c r="X30" i="2"/>
  <c r="S30" i="2"/>
  <c r="N42" i="4"/>
  <c r="N28" i="4"/>
  <c r="N27" i="4"/>
  <c r="O26" i="4"/>
  <c r="J30" i="2" l="1"/>
  <c r="V49" i="12"/>
  <c r="G49" i="12"/>
  <c r="Y49" i="12"/>
  <c r="I49" i="12"/>
  <c r="U49" i="12"/>
  <c r="E49" i="12"/>
  <c r="T49" i="12"/>
  <c r="D49" i="12"/>
  <c r="R49" i="12"/>
  <c r="Q49" i="12"/>
  <c r="P49" i="12"/>
  <c r="H49" i="12"/>
  <c r="F49" i="12"/>
  <c r="C49" i="12"/>
  <c r="B50" i="12"/>
  <c r="Z49" i="12"/>
  <c r="W49" i="12"/>
  <c r="X49" i="12"/>
  <c r="S49" i="12"/>
  <c r="M49" i="12"/>
  <c r="L49" i="12"/>
  <c r="K49" i="12"/>
  <c r="J49" i="12"/>
  <c r="H77" i="2"/>
  <c r="M236" i="4"/>
  <c r="Z236" i="4" s="1" a="1"/>
  <c r="Z236" i="4" s="1"/>
  <c r="K82" i="4"/>
  <c r="K93" i="4"/>
  <c r="A238" i="4"/>
  <c r="G237" i="4" a="1"/>
  <c r="G237" i="4" s="1"/>
  <c r="T237" i="4" s="1" a="1"/>
  <c r="T237" i="4" s="1"/>
  <c r="AG237" i="4" s="1" a="1"/>
  <c r="AG237" i="4" s="1"/>
  <c r="F237" i="4" a="1"/>
  <c r="F237" i="4" s="1"/>
  <c r="S237" i="4" s="1" a="1"/>
  <c r="S237" i="4" s="1"/>
  <c r="AF237" i="4" s="1" a="1"/>
  <c r="AF237" i="4" s="1"/>
  <c r="D237" i="4" a="1"/>
  <c r="D237" i="4" s="1"/>
  <c r="Q237" i="4" s="1" a="1"/>
  <c r="Q237" i="4" s="1"/>
  <c r="AD237" i="4" s="1" a="1"/>
  <c r="AD237" i="4" s="1"/>
  <c r="H237" i="4" a="1"/>
  <c r="H237" i="4" s="1"/>
  <c r="U237" i="4" s="1" a="1"/>
  <c r="U237" i="4" s="1"/>
  <c r="AH237" i="4" s="1" a="1"/>
  <c r="AH237" i="4" s="1"/>
  <c r="E237" i="4" a="1"/>
  <c r="E237" i="4" s="1"/>
  <c r="R237" i="4" s="1" a="1"/>
  <c r="R237" i="4" s="1"/>
  <c r="AE237" i="4" s="1" a="1"/>
  <c r="AE237" i="4" s="1"/>
  <c r="K237" i="4" a="1"/>
  <c r="K237" i="4" s="1"/>
  <c r="X237" i="4" s="1" a="1"/>
  <c r="X237" i="4" s="1"/>
  <c r="I237" i="4" a="1"/>
  <c r="I237" i="4" s="1"/>
  <c r="V237" i="4" s="1" a="1"/>
  <c r="V237" i="4" s="1"/>
  <c r="C237" i="4" a="1"/>
  <c r="C237" i="4" s="1"/>
  <c r="P237" i="4" s="1" a="1"/>
  <c r="P237" i="4" s="1"/>
  <c r="AC237" i="4" s="1" a="1"/>
  <c r="AC237" i="4" s="1"/>
  <c r="B237" i="4" a="1"/>
  <c r="B237" i="4" s="1"/>
  <c r="O237" i="4" s="1" a="1"/>
  <c r="O237" i="4" s="1"/>
  <c r="J237" i="4" a="1"/>
  <c r="J237" i="4" s="1"/>
  <c r="W237" i="4" s="1" a="1"/>
  <c r="W237" i="4" s="1"/>
  <c r="T67" i="12"/>
  <c r="E67" i="12"/>
  <c r="R67" i="12"/>
  <c r="C67" i="12"/>
  <c r="Q67" i="12"/>
  <c r="P67" i="12"/>
  <c r="M67" i="12"/>
  <c r="I67" i="12"/>
  <c r="Z67" i="12"/>
  <c r="F67" i="12"/>
  <c r="Y67" i="12"/>
  <c r="D67" i="12"/>
  <c r="W67" i="12"/>
  <c r="V67" i="12"/>
  <c r="U67" i="12"/>
  <c r="B68" i="12"/>
  <c r="X67" i="12"/>
  <c r="S67" i="12"/>
  <c r="K67" i="12"/>
  <c r="L67" i="12"/>
  <c r="J67" i="12"/>
  <c r="H67" i="12"/>
  <c r="G67" i="12"/>
  <c r="H55" i="2"/>
  <c r="H69" i="2"/>
  <c r="H58" i="2"/>
  <c r="H65" i="2"/>
  <c r="H57" i="2"/>
  <c r="H76" i="2"/>
  <c r="H64" i="2"/>
  <c r="H79" i="2"/>
  <c r="K222" i="4" a="1"/>
  <c r="K222" i="4" s="1"/>
  <c r="X222" i="4" s="1" a="1"/>
  <c r="X222" i="4" s="1"/>
  <c r="L222" i="4" s="1"/>
  <c r="K223" i="4" a="1"/>
  <c r="K223" i="4" s="1"/>
  <c r="X223" i="4" s="1" a="1"/>
  <c r="X223" i="4" s="1"/>
  <c r="L223" i="4" s="1"/>
  <c r="K224" i="4" a="1"/>
  <c r="K224" i="4" s="1"/>
  <c r="X224" i="4" s="1" a="1"/>
  <c r="X224" i="4" s="1"/>
  <c r="L224" i="4" s="1"/>
  <c r="K225" i="4" a="1"/>
  <c r="K225" i="4" s="1"/>
  <c r="X225" i="4" s="1" a="1"/>
  <c r="X225" i="4" s="1"/>
  <c r="L225" i="4" s="1"/>
  <c r="Z105" i="12"/>
  <c r="K105" i="12"/>
  <c r="X105" i="12"/>
  <c r="I105" i="12"/>
  <c r="W105" i="12"/>
  <c r="H105" i="12"/>
  <c r="V105" i="12"/>
  <c r="G105" i="12"/>
  <c r="T105" i="12"/>
  <c r="E105" i="12"/>
  <c r="D105" i="12"/>
  <c r="B106" i="12"/>
  <c r="Y105" i="12"/>
  <c r="U105" i="12"/>
  <c r="R105" i="12"/>
  <c r="Q105" i="12"/>
  <c r="P105" i="12"/>
  <c r="C105" i="12"/>
  <c r="S105" i="12"/>
  <c r="M105" i="12"/>
  <c r="L105" i="12"/>
  <c r="J105" i="12"/>
  <c r="F105" i="12"/>
  <c r="P86" i="12"/>
  <c r="M86" i="12"/>
  <c r="B87" i="12"/>
  <c r="L86" i="12"/>
  <c r="Z86" i="12"/>
  <c r="K86" i="12"/>
  <c r="X86" i="12"/>
  <c r="I86" i="12"/>
  <c r="H86" i="12"/>
  <c r="E86" i="12"/>
  <c r="Y86" i="12"/>
  <c r="D86" i="12"/>
  <c r="V86" i="12"/>
  <c r="U86" i="12"/>
  <c r="T86" i="12"/>
  <c r="S86" i="12"/>
  <c r="R86" i="12"/>
  <c r="Q86" i="12"/>
  <c r="J86" i="12"/>
  <c r="G86" i="12"/>
  <c r="C86" i="12"/>
  <c r="W86" i="12"/>
  <c r="F86" i="12"/>
  <c r="S31" i="2"/>
  <c r="E31" i="2"/>
  <c r="L31" i="2"/>
  <c r="K31" i="2"/>
  <c r="X31" i="2"/>
  <c r="I31" i="2"/>
  <c r="H31" i="2"/>
  <c r="Y31" i="2"/>
  <c r="R31" i="2"/>
  <c r="F31" i="2"/>
  <c r="O31" i="2"/>
  <c r="N31" i="2"/>
  <c r="M31" i="2"/>
  <c r="P31" i="2"/>
  <c r="J56" i="2"/>
  <c r="K135" i="4"/>
  <c r="K136" i="4"/>
  <c r="K137" i="4"/>
  <c r="K138" i="4"/>
  <c r="M138" i="4" s="1" a="1"/>
  <c r="M138" i="4" s="1"/>
  <c r="K141" i="4"/>
  <c r="M141" i="4" s="1" a="1"/>
  <c r="M141" i="4" s="1"/>
  <c r="K131" i="4"/>
  <c r="K139" i="4"/>
  <c r="L139" i="4" s="1"/>
  <c r="K133" i="4"/>
  <c r="K130" i="4"/>
  <c r="K132" i="4"/>
  <c r="K134" i="4"/>
  <c r="K140" i="4"/>
  <c r="O155" i="4"/>
  <c r="O148" i="4"/>
  <c r="O157" i="4"/>
  <c r="O153" i="4"/>
  <c r="O149" i="4"/>
  <c r="O154" i="4"/>
  <c r="O152" i="4"/>
  <c r="O151" i="4"/>
  <c r="O150" i="4"/>
  <c r="O158" i="4"/>
  <c r="P144" i="4"/>
  <c r="O145" i="4"/>
  <c r="O156" i="4"/>
  <c r="O147" i="4"/>
  <c r="K100" i="4" a="1"/>
  <c r="K100" i="4" s="1"/>
  <c r="H70" i="2"/>
  <c r="O42" i="4"/>
  <c r="O27" i="4"/>
  <c r="P26" i="4"/>
  <c r="O28" i="4"/>
  <c r="K81" i="4"/>
  <c r="K92" i="4"/>
  <c r="L86" i="4"/>
  <c r="L97" i="4" s="1"/>
  <c r="L72" i="4"/>
  <c r="L65" i="4"/>
  <c r="L74" i="4"/>
  <c r="L84" i="4" s="1"/>
  <c r="L95" i="4" s="1"/>
  <c r="L78" i="4"/>
  <c r="L88" i="4" s="1"/>
  <c r="L99" i="4" s="1"/>
  <c r="L100" i="4" a="1"/>
  <c r="L100" i="4" s="1"/>
  <c r="L70" i="4"/>
  <c r="L80" i="4" s="1"/>
  <c r="L91" i="4" s="1"/>
  <c r="L67" i="4"/>
  <c r="L68" i="4" s="1"/>
  <c r="L64" i="4"/>
  <c r="M61" i="4"/>
  <c r="L73" i="4"/>
  <c r="L83" i="4" s="1"/>
  <c r="L94" i="4" s="1"/>
  <c r="L77" i="4"/>
  <c r="L89" i="4"/>
  <c r="L85" i="4"/>
  <c r="L96" i="4" s="1"/>
  <c r="L75" i="4"/>
  <c r="L63" i="4"/>
  <c r="L76" i="4"/>
  <c r="L66" i="4"/>
  <c r="L69" i="4"/>
  <c r="L79" i="4" s="1"/>
  <c r="L90" i="4" s="1"/>
  <c r="L62" i="4"/>
  <c r="L71" i="4"/>
  <c r="H72" i="2"/>
  <c r="B19" i="3"/>
  <c r="A21" i="4"/>
  <c r="A16" i="2"/>
  <c r="A32" i="2"/>
  <c r="H71" i="2"/>
  <c r="L236" i="4"/>
  <c r="Y236" i="4" s="1" a="1"/>
  <c r="Y236" i="4" s="1"/>
  <c r="AB236" i="4" a="1"/>
  <c r="AB236" i="4" s="1"/>
  <c r="K87" i="4"/>
  <c r="K98" i="4"/>
  <c r="J31" i="2" l="1"/>
  <c r="C18" i="4"/>
  <c r="L81" i="4"/>
  <c r="L92" i="4"/>
  <c r="L133" i="4"/>
  <c r="M133" i="4" a="1"/>
  <c r="M133" i="4" s="1"/>
  <c r="AB237" i="4" a="1"/>
  <c r="AB237" i="4" s="1"/>
  <c r="L237" i="4"/>
  <c r="Y237" i="4" s="1" a="1"/>
  <c r="Y237" i="4" s="1"/>
  <c r="L98" i="4"/>
  <c r="L87" i="4"/>
  <c r="T87" i="12"/>
  <c r="E87" i="12"/>
  <c r="R87" i="12"/>
  <c r="C87" i="12"/>
  <c r="Q87" i="12"/>
  <c r="P87" i="12"/>
  <c r="M87" i="12"/>
  <c r="H87" i="12"/>
  <c r="Y87" i="12"/>
  <c r="D87" i="12"/>
  <c r="X87" i="12"/>
  <c r="V87" i="12"/>
  <c r="U87" i="12"/>
  <c r="S87" i="12"/>
  <c r="B88" i="12"/>
  <c r="Z87" i="12"/>
  <c r="W87" i="12"/>
  <c r="L87" i="12"/>
  <c r="F87" i="12"/>
  <c r="K87" i="12"/>
  <c r="J87" i="12"/>
  <c r="I87" i="12"/>
  <c r="G87" i="12"/>
  <c r="L131" i="4"/>
  <c r="M131" i="4" a="1"/>
  <c r="M131" i="4" s="1"/>
  <c r="Z50" i="12"/>
  <c r="K50" i="12"/>
  <c r="P50" i="12"/>
  <c r="L50" i="12"/>
  <c r="B51" i="12"/>
  <c r="J50" i="12"/>
  <c r="X50" i="12"/>
  <c r="H50" i="12"/>
  <c r="W50" i="12"/>
  <c r="G50" i="12"/>
  <c r="V50" i="12"/>
  <c r="F50" i="12"/>
  <c r="I50" i="12"/>
  <c r="E50" i="12"/>
  <c r="D50" i="12"/>
  <c r="C50" i="12"/>
  <c r="U50" i="12"/>
  <c r="Y50" i="12"/>
  <c r="R50" i="12"/>
  <c r="Q50" i="12"/>
  <c r="M50" i="12"/>
  <c r="T50" i="12"/>
  <c r="S50" i="12"/>
  <c r="M137" i="4" a="1"/>
  <c r="M137" i="4" s="1"/>
  <c r="L137" i="4"/>
  <c r="L136" i="4"/>
  <c r="M136" i="4" a="1"/>
  <c r="M136" i="4" s="1"/>
  <c r="P106" i="12"/>
  <c r="M106" i="12"/>
  <c r="B107" i="12"/>
  <c r="L106" i="12"/>
  <c r="Z106" i="12"/>
  <c r="K106" i="12"/>
  <c r="X106" i="12"/>
  <c r="I106" i="12"/>
  <c r="Y106" i="12"/>
  <c r="D106" i="12"/>
  <c r="V106" i="12"/>
  <c r="U106" i="12"/>
  <c r="T106" i="12"/>
  <c r="R106" i="12"/>
  <c r="Q106" i="12"/>
  <c r="W106" i="12"/>
  <c r="S106" i="12"/>
  <c r="J106" i="12"/>
  <c r="H106" i="12"/>
  <c r="G106" i="12"/>
  <c r="F106" i="12"/>
  <c r="C106" i="12"/>
  <c r="E106" i="12"/>
  <c r="L141" i="4"/>
  <c r="J58" i="2"/>
  <c r="G238" i="4" a="1"/>
  <c r="G238" i="4" s="1"/>
  <c r="T238" i="4" s="1" a="1"/>
  <c r="T238" i="4" s="1"/>
  <c r="AG238" i="4" s="1" a="1"/>
  <c r="AG238" i="4" s="1"/>
  <c r="F238" i="4" a="1"/>
  <c r="F238" i="4" s="1"/>
  <c r="S238" i="4" s="1" a="1"/>
  <c r="S238" i="4" s="1"/>
  <c r="AF238" i="4" s="1" a="1"/>
  <c r="AF238" i="4" s="1"/>
  <c r="A239" i="4"/>
  <c r="E238" i="4" a="1"/>
  <c r="E238" i="4" s="1"/>
  <c r="R238" i="4" s="1" a="1"/>
  <c r="R238" i="4" s="1"/>
  <c r="AE238" i="4" s="1" a="1"/>
  <c r="AE238" i="4" s="1"/>
  <c r="J238" i="4" a="1"/>
  <c r="J238" i="4" s="1"/>
  <c r="W238" i="4" s="1" a="1"/>
  <c r="W238" i="4" s="1"/>
  <c r="I238" i="4" a="1"/>
  <c r="I238" i="4" s="1"/>
  <c r="V238" i="4" s="1" a="1"/>
  <c r="V238" i="4" s="1"/>
  <c r="H238" i="4" a="1"/>
  <c r="H238" i="4" s="1"/>
  <c r="U238" i="4" s="1" a="1"/>
  <c r="U238" i="4" s="1"/>
  <c r="AH238" i="4" s="1" a="1"/>
  <c r="AH238" i="4" s="1"/>
  <c r="K238" i="4" a="1"/>
  <c r="K238" i="4" s="1"/>
  <c r="X238" i="4" s="1" a="1"/>
  <c r="X238" i="4" s="1"/>
  <c r="D238" i="4" a="1"/>
  <c r="D238" i="4" s="1"/>
  <c r="Q238" i="4" s="1" a="1"/>
  <c r="Q238" i="4" s="1"/>
  <c r="AD238" i="4" s="1" a="1"/>
  <c r="AD238" i="4" s="1"/>
  <c r="B238" i="4" a="1"/>
  <c r="B238" i="4" s="1"/>
  <c r="O238" i="4" s="1" a="1"/>
  <c r="O238" i="4" s="1"/>
  <c r="C238" i="4" a="1"/>
  <c r="C238" i="4" s="1"/>
  <c r="P238" i="4" s="1" a="1"/>
  <c r="P238" i="4" s="1"/>
  <c r="AC238" i="4" s="1" a="1"/>
  <c r="AC238" i="4" s="1"/>
  <c r="M74" i="4"/>
  <c r="M84" i="4" s="1"/>
  <c r="M95" i="4" s="1"/>
  <c r="M70" i="4"/>
  <c r="M80" i="4" s="1"/>
  <c r="M91" i="4" s="1"/>
  <c r="M67" i="4"/>
  <c r="M68" i="4" s="1"/>
  <c r="M64" i="4"/>
  <c r="N61" i="4"/>
  <c r="M86" i="4"/>
  <c r="M97" i="4" s="1"/>
  <c r="M76" i="4"/>
  <c r="M72" i="4"/>
  <c r="M71" i="4"/>
  <c r="M69" i="4"/>
  <c r="M79" i="4" s="1"/>
  <c r="M90" i="4" s="1"/>
  <c r="M77" i="4"/>
  <c r="M78" i="4"/>
  <c r="M88" i="4" s="1"/>
  <c r="M99" i="4" s="1"/>
  <c r="M75" i="4"/>
  <c r="M65" i="4"/>
  <c r="M63" i="4"/>
  <c r="M89" i="4"/>
  <c r="M85" i="4"/>
  <c r="M96" i="4" s="1"/>
  <c r="M62" i="4"/>
  <c r="M73" i="4"/>
  <c r="M83" i="4" s="1"/>
  <c r="M94" i="4" s="1"/>
  <c r="M66" i="4"/>
  <c r="L32" i="2"/>
  <c r="Y32" i="2"/>
  <c r="F32" i="2"/>
  <c r="X32" i="2"/>
  <c r="E32" i="2"/>
  <c r="S32" i="2"/>
  <c r="R32" i="2"/>
  <c r="M32" i="2"/>
  <c r="K32" i="2"/>
  <c r="P32" i="2"/>
  <c r="O32" i="2"/>
  <c r="N32" i="2"/>
  <c r="I32" i="2"/>
  <c r="H32" i="2"/>
  <c r="M237" i="4"/>
  <c r="Z237" i="4" s="1" a="1"/>
  <c r="Z237" i="4" s="1"/>
  <c r="M140" i="4" a="1"/>
  <c r="M140" i="4" s="1"/>
  <c r="L140" i="4"/>
  <c r="L138" i="4"/>
  <c r="J57" i="2"/>
  <c r="M139" i="4" a="1"/>
  <c r="M139" i="4" s="1"/>
  <c r="L93" i="4"/>
  <c r="L82" i="4"/>
  <c r="L134" i="4"/>
  <c r="M134" i="4" a="1"/>
  <c r="M134" i="4" s="1"/>
  <c r="J55" i="2"/>
  <c r="X68" i="12"/>
  <c r="I68" i="12"/>
  <c r="V68" i="12"/>
  <c r="G68" i="12"/>
  <c r="U68" i="12"/>
  <c r="F68" i="12"/>
  <c r="T68" i="12"/>
  <c r="E68" i="12"/>
  <c r="R68" i="12"/>
  <c r="C68" i="12"/>
  <c r="H68" i="12"/>
  <c r="Z68" i="12"/>
  <c r="Y68" i="12"/>
  <c r="S68" i="12"/>
  <c r="Q68" i="12"/>
  <c r="P68" i="12"/>
  <c r="J68" i="12"/>
  <c r="D68" i="12"/>
  <c r="B69" i="12"/>
  <c r="W68" i="12"/>
  <c r="M68" i="12"/>
  <c r="L68" i="12"/>
  <c r="K68" i="12"/>
  <c r="M135" i="4" a="1"/>
  <c r="M135" i="4" s="1"/>
  <c r="L135" i="4"/>
  <c r="A17" i="2"/>
  <c r="A22" i="4"/>
  <c r="B20" i="3"/>
  <c r="A33" i="2"/>
  <c r="M132" i="4" a="1"/>
  <c r="M132" i="4" s="1"/>
  <c r="L132" i="4"/>
  <c r="Q26" i="4"/>
  <c r="P42" i="4"/>
  <c r="P27" i="4"/>
  <c r="P28" i="4"/>
  <c r="P156" i="4"/>
  <c r="P149" i="4"/>
  <c r="P153" i="4"/>
  <c r="P157" i="4"/>
  <c r="P155" i="4"/>
  <c r="P151" i="4"/>
  <c r="P148" i="4"/>
  <c r="P154" i="4"/>
  <c r="P158" i="4"/>
  <c r="Q144" i="4"/>
  <c r="P147" i="4"/>
  <c r="P150" i="4"/>
  <c r="P152" i="4"/>
  <c r="P145" i="4"/>
  <c r="M130" i="4" a="1"/>
  <c r="M130" i="4" s="1"/>
  <c r="L130" i="4"/>
  <c r="S33" i="2" l="1"/>
  <c r="E33" i="2"/>
  <c r="O33" i="2"/>
  <c r="F33" i="2"/>
  <c r="N33" i="2"/>
  <c r="M33" i="2"/>
  <c r="L33" i="2"/>
  <c r="K33" i="2"/>
  <c r="Y33" i="2"/>
  <c r="H33" i="2"/>
  <c r="I33" i="2"/>
  <c r="R33" i="2"/>
  <c r="P33" i="2"/>
  <c r="X33" i="2"/>
  <c r="AB238" i="4" a="1"/>
  <c r="AB238" i="4" s="1"/>
  <c r="L238" i="4"/>
  <c r="Y238" i="4" s="1" a="1"/>
  <c r="Y238" i="4" s="1"/>
  <c r="A18" i="2"/>
  <c r="A23" i="4"/>
  <c r="A34" i="2"/>
  <c r="I6" i="5"/>
  <c r="H5" i="5"/>
  <c r="H4" i="5"/>
  <c r="C12" i="4"/>
  <c r="B13" i="4"/>
  <c r="I5" i="5"/>
  <c r="B12" i="4"/>
  <c r="I4" i="5"/>
  <c r="C13" i="4"/>
  <c r="B19" i="4"/>
  <c r="H6" i="5"/>
  <c r="H7" i="5"/>
  <c r="C15" i="4"/>
  <c r="C17" i="4"/>
  <c r="B14" i="4"/>
  <c r="I7" i="5"/>
  <c r="B16" i="4"/>
  <c r="B15" i="4"/>
  <c r="C14" i="4"/>
  <c r="C20" i="4"/>
  <c r="C16" i="4"/>
  <c r="B20" i="4"/>
  <c r="B17" i="4"/>
  <c r="M87" i="4"/>
  <c r="M98" i="4"/>
  <c r="B22" i="4"/>
  <c r="C22" i="4"/>
  <c r="X88" i="12"/>
  <c r="I88" i="12"/>
  <c r="V88" i="12"/>
  <c r="G88" i="12"/>
  <c r="U88" i="12"/>
  <c r="F88" i="12"/>
  <c r="T88" i="12"/>
  <c r="E88" i="12"/>
  <c r="R88" i="12"/>
  <c r="C88" i="12"/>
  <c r="D88" i="12"/>
  <c r="Y88" i="12"/>
  <c r="W88" i="12"/>
  <c r="Q88" i="12"/>
  <c r="P88" i="12"/>
  <c r="K88" i="12"/>
  <c r="J88" i="12"/>
  <c r="H88" i="12"/>
  <c r="B89" i="12"/>
  <c r="Z88" i="12"/>
  <c r="M88" i="12"/>
  <c r="S88" i="12"/>
  <c r="L88" i="12"/>
  <c r="M82" i="4"/>
  <c r="M93" i="4"/>
  <c r="M238" i="4"/>
  <c r="Z238" i="4" s="1" a="1"/>
  <c r="Z238" i="4" s="1"/>
  <c r="N100" i="4" a="1"/>
  <c r="N100" i="4" s="1"/>
  <c r="N74" i="4"/>
  <c r="N84" i="4" s="1"/>
  <c r="N95" i="4" s="1"/>
  <c r="N67" i="4"/>
  <c r="N68" i="4" s="1"/>
  <c r="N76" i="4"/>
  <c r="N86" i="4"/>
  <c r="N97" i="4" s="1"/>
  <c r="N73" i="4"/>
  <c r="N83" i="4" s="1"/>
  <c r="N94" i="4" s="1"/>
  <c r="N85" i="4"/>
  <c r="N96" i="4" s="1"/>
  <c r="N77" i="4"/>
  <c r="N78" i="4"/>
  <c r="N88" i="4" s="1"/>
  <c r="N99" i="4" s="1"/>
  <c r="N64" i="4"/>
  <c r="N89" i="4"/>
  <c r="N75" i="4"/>
  <c r="N69" i="4"/>
  <c r="N79" i="4" s="1"/>
  <c r="N90" i="4" s="1"/>
  <c r="N66" i="4"/>
  <c r="N70" i="4"/>
  <c r="N80" i="4" s="1"/>
  <c r="N91" i="4" s="1"/>
  <c r="N72" i="4"/>
  <c r="N71" i="4"/>
  <c r="N65" i="4"/>
  <c r="N62" i="4"/>
  <c r="O61" i="4"/>
  <c r="N63" i="4"/>
  <c r="K239" i="4" a="1"/>
  <c r="K239" i="4" s="1"/>
  <c r="X239" i="4" s="1" a="1"/>
  <c r="X239" i="4" s="1"/>
  <c r="D239" i="4" a="1"/>
  <c r="D239" i="4" s="1"/>
  <c r="Q239" i="4" s="1" a="1"/>
  <c r="Q239" i="4" s="1"/>
  <c r="AD239" i="4" s="1" a="1"/>
  <c r="AD239" i="4" s="1"/>
  <c r="I239" i="4" a="1"/>
  <c r="I239" i="4" s="1"/>
  <c r="V239" i="4" s="1" a="1"/>
  <c r="V239" i="4" s="1"/>
  <c r="H239" i="4" a="1"/>
  <c r="H239" i="4" s="1"/>
  <c r="U239" i="4" s="1" a="1"/>
  <c r="U239" i="4" s="1"/>
  <c r="AH239" i="4" s="1" a="1"/>
  <c r="AH239" i="4" s="1"/>
  <c r="G239" i="4" a="1"/>
  <c r="G239" i="4" s="1"/>
  <c r="T239" i="4" s="1" a="1"/>
  <c r="T239" i="4" s="1"/>
  <c r="AG239" i="4" s="1" a="1"/>
  <c r="AG239" i="4" s="1"/>
  <c r="F239" i="4" a="1"/>
  <c r="F239" i="4" s="1"/>
  <c r="S239" i="4" s="1" a="1"/>
  <c r="S239" i="4" s="1"/>
  <c r="AF239" i="4" s="1" a="1"/>
  <c r="AF239" i="4" s="1"/>
  <c r="J239" i="4" a="1"/>
  <c r="J239" i="4" s="1"/>
  <c r="W239" i="4" s="1" a="1"/>
  <c r="W239" i="4" s="1"/>
  <c r="E239" i="4" a="1"/>
  <c r="E239" i="4" s="1"/>
  <c r="R239" i="4" s="1" a="1"/>
  <c r="R239" i="4" s="1"/>
  <c r="AE239" i="4" s="1" a="1"/>
  <c r="AE239" i="4" s="1"/>
  <c r="A240" i="4"/>
  <c r="B239" i="4" a="1"/>
  <c r="B239" i="4" s="1"/>
  <c r="O239" i="4" s="1" a="1"/>
  <c r="O239" i="4" s="1"/>
  <c r="C239" i="4" a="1"/>
  <c r="C239" i="4" s="1"/>
  <c r="P239" i="4" s="1" a="1"/>
  <c r="P239" i="4" s="1"/>
  <c r="AC239" i="4" s="1" a="1"/>
  <c r="AC239" i="4" s="1"/>
  <c r="T107" i="12"/>
  <c r="E107" i="12"/>
  <c r="R107" i="12"/>
  <c r="C107" i="12"/>
  <c r="Q107" i="12"/>
  <c r="P107" i="12"/>
  <c r="M107" i="12"/>
  <c r="X107" i="12"/>
  <c r="V107" i="12"/>
  <c r="U107" i="12"/>
  <c r="S107" i="12"/>
  <c r="L107" i="12"/>
  <c r="K107" i="12"/>
  <c r="J107" i="12"/>
  <c r="B108" i="12"/>
  <c r="Z107" i="12"/>
  <c r="Y107" i="12"/>
  <c r="W107" i="12"/>
  <c r="I107" i="12"/>
  <c r="H107" i="12"/>
  <c r="G107" i="12"/>
  <c r="F107" i="12"/>
  <c r="D107" i="12"/>
  <c r="Q156" i="4"/>
  <c r="Q149" i="4"/>
  <c r="R144" i="4"/>
  <c r="Q158" i="4"/>
  <c r="Q153" i="4"/>
  <c r="Q157" i="4"/>
  <c r="Q155" i="4"/>
  <c r="Q151" i="4"/>
  <c r="Q148" i="4"/>
  <c r="Q145" i="4"/>
  <c r="Q150" i="4"/>
  <c r="Q152" i="4"/>
  <c r="Q147" i="4"/>
  <c r="Q154" i="4"/>
  <c r="R26" i="4"/>
  <c r="Q28" i="4"/>
  <c r="Q42" i="4"/>
  <c r="Q27" i="4"/>
  <c r="M69" i="12"/>
  <c r="Z69" i="12"/>
  <c r="K69" i="12"/>
  <c r="Y69" i="12"/>
  <c r="J69" i="12"/>
  <c r="X69" i="12"/>
  <c r="I69" i="12"/>
  <c r="V69" i="12"/>
  <c r="G69" i="12"/>
  <c r="D69" i="12"/>
  <c r="U69" i="12"/>
  <c r="T69" i="12"/>
  <c r="R69" i="12"/>
  <c r="Q69" i="12"/>
  <c r="P69" i="12"/>
  <c r="W69" i="12"/>
  <c r="S69" i="12"/>
  <c r="L69" i="12"/>
  <c r="H69" i="12"/>
  <c r="F69" i="12"/>
  <c r="C69" i="12"/>
  <c r="B70" i="12"/>
  <c r="E69" i="12"/>
  <c r="M81" i="4"/>
  <c r="M92" i="4"/>
  <c r="C19" i="4"/>
  <c r="B21" i="4"/>
  <c r="J32" i="2"/>
  <c r="M100" i="4" a="1"/>
  <c r="M100" i="4" s="1"/>
  <c r="B18" i="4"/>
  <c r="C21" i="4"/>
  <c r="P51" i="12"/>
  <c r="V51" i="12"/>
  <c r="F51" i="12"/>
  <c r="S51" i="12"/>
  <c r="C51" i="12"/>
  <c r="R51" i="12"/>
  <c r="M51" i="12"/>
  <c r="L51" i="12"/>
  <c r="J51" i="12"/>
  <c r="I51" i="12"/>
  <c r="H51" i="12"/>
  <c r="G51" i="12"/>
  <c r="E51" i="12"/>
  <c r="B52" i="12"/>
  <c r="D51" i="12"/>
  <c r="Y51" i="12"/>
  <c r="Z51" i="12"/>
  <c r="X51" i="12"/>
  <c r="W51" i="12"/>
  <c r="U51" i="12"/>
  <c r="T51" i="12"/>
  <c r="Q51" i="12"/>
  <c r="K51" i="12"/>
  <c r="J33" i="2" l="1"/>
  <c r="G240" i="4" a="1"/>
  <c r="G240" i="4" s="1"/>
  <c r="T240" i="4" s="1" a="1"/>
  <c r="T240" i="4" s="1"/>
  <c r="AG240" i="4" s="1" a="1"/>
  <c r="AG240" i="4" s="1"/>
  <c r="F240" i="4" a="1"/>
  <c r="F240" i="4" s="1"/>
  <c r="S240" i="4" s="1" a="1"/>
  <c r="S240" i="4" s="1"/>
  <c r="AF240" i="4" s="1" a="1"/>
  <c r="AF240" i="4" s="1"/>
  <c r="A241" i="4"/>
  <c r="E240" i="4" a="1"/>
  <c r="E240" i="4" s="1"/>
  <c r="R240" i="4" s="1" a="1"/>
  <c r="R240" i="4" s="1"/>
  <c r="AE240" i="4" s="1" a="1"/>
  <c r="AE240" i="4" s="1"/>
  <c r="I240" i="4" a="1"/>
  <c r="I240" i="4" s="1"/>
  <c r="V240" i="4" s="1" a="1"/>
  <c r="V240" i="4" s="1"/>
  <c r="H240" i="4" a="1"/>
  <c r="H240" i="4" s="1"/>
  <c r="U240" i="4" s="1" a="1"/>
  <c r="U240" i="4" s="1"/>
  <c r="AH240" i="4" s="1" a="1"/>
  <c r="AH240" i="4" s="1"/>
  <c r="J240" i="4" a="1"/>
  <c r="J240" i="4" s="1"/>
  <c r="W240" i="4" s="1" a="1"/>
  <c r="W240" i="4" s="1"/>
  <c r="B240" i="4" a="1"/>
  <c r="B240" i="4" s="1"/>
  <c r="O240" i="4" s="1" a="1"/>
  <c r="O240" i="4" s="1"/>
  <c r="D240" i="4" a="1"/>
  <c r="D240" i="4" s="1"/>
  <c r="Q240" i="4" s="1" a="1"/>
  <c r="Q240" i="4" s="1"/>
  <c r="AD240" i="4" s="1" a="1"/>
  <c r="AD240" i="4" s="1"/>
  <c r="C240" i="4" a="1"/>
  <c r="C240" i="4" s="1"/>
  <c r="P240" i="4" s="1" a="1"/>
  <c r="P240" i="4" s="1"/>
  <c r="AC240" i="4" s="1" a="1"/>
  <c r="AC240" i="4" s="1"/>
  <c r="K240" i="4" a="1"/>
  <c r="K240" i="4" s="1"/>
  <c r="X240" i="4" s="1" a="1"/>
  <c r="X240" i="4" s="1"/>
  <c r="N82" i="4"/>
  <c r="N93" i="4"/>
  <c r="C3" i="9"/>
  <c r="C3" i="7"/>
  <c r="C3" i="6"/>
  <c r="C3" i="8"/>
  <c r="C3" i="10"/>
  <c r="S144" i="4"/>
  <c r="R157" i="4"/>
  <c r="R150" i="4"/>
  <c r="R155" i="4"/>
  <c r="R151" i="4"/>
  <c r="R148" i="4"/>
  <c r="R145" i="4"/>
  <c r="R158" i="4"/>
  <c r="R156" i="4"/>
  <c r="R154" i="4"/>
  <c r="R152" i="4"/>
  <c r="R149" i="4"/>
  <c r="R147" i="4"/>
  <c r="R153" i="4"/>
  <c r="R70" i="12"/>
  <c r="C70" i="12"/>
  <c r="P70" i="12"/>
  <c r="M70" i="12"/>
  <c r="Z70" i="12"/>
  <c r="K70" i="12"/>
  <c r="X70" i="12"/>
  <c r="D70" i="12"/>
  <c r="U70" i="12"/>
  <c r="T70" i="12"/>
  <c r="Q70" i="12"/>
  <c r="L70" i="12"/>
  <c r="J70" i="12"/>
  <c r="B71" i="12"/>
  <c r="Y70" i="12"/>
  <c r="W70" i="12"/>
  <c r="S70" i="12"/>
  <c r="F70" i="12"/>
  <c r="E70" i="12"/>
  <c r="V70" i="12"/>
  <c r="I70" i="12"/>
  <c r="H70" i="12"/>
  <c r="G70" i="12"/>
  <c r="M239" i="4"/>
  <c r="Z239" i="4" s="1" a="1"/>
  <c r="Z239" i="4" s="1"/>
  <c r="N87" i="4"/>
  <c r="N98" i="4"/>
  <c r="L34" i="2"/>
  <c r="L35" i="2" s="1"/>
  <c r="I34" i="2"/>
  <c r="I35" i="2" s="1"/>
  <c r="H34" i="2"/>
  <c r="O34" i="2"/>
  <c r="O35" i="2" s="1"/>
  <c r="Y34" i="2"/>
  <c r="Y35" i="2" s="1"/>
  <c r="F34" i="2"/>
  <c r="F35" i="2" s="1"/>
  <c r="X34" i="2"/>
  <c r="X35" i="2" s="1"/>
  <c r="E4" i="2" s="1"/>
  <c r="E34" i="2"/>
  <c r="E35" i="2" s="1"/>
  <c r="S34" i="2"/>
  <c r="S35" i="2" s="1"/>
  <c r="R34" i="2"/>
  <c r="R35" i="2" s="1"/>
  <c r="P34" i="2"/>
  <c r="P35" i="2" s="1"/>
  <c r="M34" i="2"/>
  <c r="M35" i="2" s="1"/>
  <c r="K34" i="2"/>
  <c r="K35" i="2" s="1"/>
  <c r="N34" i="2"/>
  <c r="N35" i="2" s="1"/>
  <c r="O86" i="4"/>
  <c r="O97" i="4" s="1"/>
  <c r="O73" i="4"/>
  <c r="O83" i="4" s="1"/>
  <c r="O94" i="4" s="1"/>
  <c r="O85" i="4"/>
  <c r="O96" i="4" s="1"/>
  <c r="O77" i="4"/>
  <c r="O69" i="4"/>
  <c r="O79" i="4" s="1"/>
  <c r="O90" i="4" s="1"/>
  <c r="O78" i="4"/>
  <c r="O88" i="4" s="1"/>
  <c r="O99" i="4" s="1"/>
  <c r="O75" i="4"/>
  <c r="O70" i="4"/>
  <c r="O80" i="4" s="1"/>
  <c r="O91" i="4" s="1"/>
  <c r="O66" i="4"/>
  <c r="O62" i="4"/>
  <c r="O72" i="4"/>
  <c r="O67" i="4"/>
  <c r="O68" i="4" s="1"/>
  <c r="O63" i="4"/>
  <c r="O100" i="4" s="1" a="1"/>
  <c r="O100" i="4" s="1"/>
  <c r="O76" i="4"/>
  <c r="O64" i="4"/>
  <c r="O89" i="4"/>
  <c r="O74" i="4"/>
  <c r="O84" i="4" s="1"/>
  <c r="O95" i="4" s="1"/>
  <c r="O65" i="4"/>
  <c r="O71" i="4"/>
  <c r="P61" i="4"/>
  <c r="B23" i="4"/>
  <c r="C23" i="4"/>
  <c r="M89" i="12"/>
  <c r="Z89" i="12"/>
  <c r="K89" i="12"/>
  <c r="Y89" i="12"/>
  <c r="J89" i="12"/>
  <c r="X89" i="12"/>
  <c r="I89" i="12"/>
  <c r="V89" i="12"/>
  <c r="G89" i="12"/>
  <c r="B90" i="12"/>
  <c r="C89" i="12"/>
  <c r="T89" i="12"/>
  <c r="S89" i="12"/>
  <c r="Q89" i="12"/>
  <c r="P89" i="12"/>
  <c r="W89" i="12"/>
  <c r="U89" i="12"/>
  <c r="R89" i="12"/>
  <c r="L89" i="12"/>
  <c r="H89" i="12"/>
  <c r="E89" i="12"/>
  <c r="F89" i="12"/>
  <c r="D89" i="12"/>
  <c r="X108" i="12"/>
  <c r="I108" i="12"/>
  <c r="V108" i="12"/>
  <c r="G108" i="12"/>
  <c r="U108" i="12"/>
  <c r="F108" i="12"/>
  <c r="T108" i="12"/>
  <c r="E108" i="12"/>
  <c r="R108" i="12"/>
  <c r="C108" i="12"/>
  <c r="W108" i="12"/>
  <c r="Q108" i="12"/>
  <c r="P108" i="12"/>
  <c r="L108" i="12"/>
  <c r="K108" i="12"/>
  <c r="J108" i="12"/>
  <c r="S108" i="12"/>
  <c r="M108" i="12"/>
  <c r="H108" i="12"/>
  <c r="D108" i="12"/>
  <c r="Z108" i="12"/>
  <c r="Y108" i="12"/>
  <c r="R28" i="4"/>
  <c r="S26" i="4"/>
  <c r="R42" i="4"/>
  <c r="R27" i="4"/>
  <c r="T52" i="12"/>
  <c r="E52" i="12"/>
  <c r="L52" i="12"/>
  <c r="Y52" i="12"/>
  <c r="I52" i="12"/>
  <c r="X52" i="12"/>
  <c r="H52" i="12"/>
  <c r="V52" i="12"/>
  <c r="F52" i="12"/>
  <c r="U52" i="12"/>
  <c r="D52" i="12"/>
  <c r="S52" i="12"/>
  <c r="C52" i="12"/>
  <c r="M52" i="12"/>
  <c r="K52" i="12"/>
  <c r="J52" i="12"/>
  <c r="G52" i="12"/>
  <c r="B53" i="12"/>
  <c r="Z52" i="12"/>
  <c r="P52" i="12"/>
  <c r="R52" i="12"/>
  <c r="W52" i="12"/>
  <c r="Q52" i="12"/>
  <c r="L239" i="4"/>
  <c r="Y239" i="4" s="1" a="1"/>
  <c r="Y239" i="4" s="1"/>
  <c r="AB239" i="4" a="1"/>
  <c r="AB239" i="4" s="1"/>
  <c r="N81" i="4"/>
  <c r="N92" i="4"/>
  <c r="S157" i="4" l="1"/>
  <c r="S150" i="4"/>
  <c r="S151" i="4"/>
  <c r="S148" i="4"/>
  <c r="S145" i="4"/>
  <c r="S149" i="4"/>
  <c r="S158" i="4"/>
  <c r="T144" i="4"/>
  <c r="S155" i="4"/>
  <c r="S152" i="4"/>
  <c r="S156" i="4"/>
  <c r="S154" i="4"/>
  <c r="S153" i="4"/>
  <c r="S147" i="4"/>
  <c r="X53" i="12"/>
  <c r="I53" i="12"/>
  <c r="S53" i="12"/>
  <c r="C53" i="12"/>
  <c r="P53" i="12"/>
  <c r="L53" i="12"/>
  <c r="B54" i="12"/>
  <c r="K53" i="12"/>
  <c r="Z53" i="12"/>
  <c r="J53" i="12"/>
  <c r="R53" i="12"/>
  <c r="Q53" i="12"/>
  <c r="M53" i="12"/>
  <c r="H53" i="12"/>
  <c r="G53" i="12"/>
  <c r="F53" i="12"/>
  <c r="D53" i="12"/>
  <c r="Y53" i="12"/>
  <c r="W53" i="12"/>
  <c r="V53" i="12"/>
  <c r="U53" i="12"/>
  <c r="E53" i="12"/>
  <c r="T53" i="12"/>
  <c r="P76" i="4"/>
  <c r="P69" i="4"/>
  <c r="P79" i="4" s="1"/>
  <c r="P90" i="4" s="1"/>
  <c r="P62" i="4"/>
  <c r="P85" i="4"/>
  <c r="P96" i="4" s="1"/>
  <c r="P78" i="4"/>
  <c r="P88" i="4" s="1"/>
  <c r="P99" i="4" s="1"/>
  <c r="P71" i="4"/>
  <c r="P73" i="4"/>
  <c r="P83" i="4" s="1"/>
  <c r="P94" i="4" s="1"/>
  <c r="P77" i="4"/>
  <c r="P66" i="4"/>
  <c r="P63" i="4"/>
  <c r="P100" i="4" s="1" a="1"/>
  <c r="P100" i="4" s="1"/>
  <c r="P89" i="4"/>
  <c r="P74" i="4"/>
  <c r="P84" i="4" s="1"/>
  <c r="P95" i="4" s="1"/>
  <c r="P72" i="4"/>
  <c r="P70" i="4"/>
  <c r="P80" i="4" s="1"/>
  <c r="P91" i="4" s="1"/>
  <c r="Q61" i="4"/>
  <c r="P75" i="4"/>
  <c r="P64" i="4"/>
  <c r="P65" i="4"/>
  <c r="P67" i="4"/>
  <c r="P68" i="4" s="1"/>
  <c r="P86" i="4"/>
  <c r="P97" i="4" s="1"/>
  <c r="V71" i="12"/>
  <c r="G71" i="12"/>
  <c r="T71" i="12"/>
  <c r="E71" i="12"/>
  <c r="S71" i="12"/>
  <c r="D71" i="12"/>
  <c r="R71" i="12"/>
  <c r="C71" i="12"/>
  <c r="P71" i="12"/>
  <c r="X71" i="12"/>
  <c r="Q71" i="12"/>
  <c r="L71" i="12"/>
  <c r="K71" i="12"/>
  <c r="J71" i="12"/>
  <c r="I71" i="12"/>
  <c r="H71" i="12"/>
  <c r="F71" i="12"/>
  <c r="B72" i="12"/>
  <c r="Z71" i="12"/>
  <c r="W71" i="12"/>
  <c r="U71" i="12"/>
  <c r="M71" i="12"/>
  <c r="Y71" i="12"/>
  <c r="O93" i="4"/>
  <c r="O82" i="4"/>
  <c r="M240" i="4"/>
  <c r="Z240" i="4" s="1" a="1"/>
  <c r="Z240" i="4" s="1"/>
  <c r="AB240" i="4" a="1"/>
  <c r="AB240" i="4" s="1"/>
  <c r="L240" i="4"/>
  <c r="Y240" i="4" s="1" a="1"/>
  <c r="Y240" i="4" s="1"/>
  <c r="R90" i="12"/>
  <c r="C90" i="12"/>
  <c r="P90" i="12"/>
  <c r="M90" i="12"/>
  <c r="Z90" i="12"/>
  <c r="K90" i="12"/>
  <c r="W90" i="12"/>
  <c r="T90" i="12"/>
  <c r="S90" i="12"/>
  <c r="L90" i="12"/>
  <c r="J90" i="12"/>
  <c r="I90" i="12"/>
  <c r="D90" i="12"/>
  <c r="Y90" i="12"/>
  <c r="V90" i="12"/>
  <c r="F90" i="12"/>
  <c r="E90" i="12"/>
  <c r="U90" i="12"/>
  <c r="Q90" i="12"/>
  <c r="H90" i="12"/>
  <c r="G90" i="12"/>
  <c r="X90" i="12"/>
  <c r="O81" i="4"/>
  <c r="O92" i="4"/>
  <c r="K241" i="4" a="1"/>
  <c r="K241" i="4" s="1"/>
  <c r="X241" i="4" s="1" a="1"/>
  <c r="X241" i="4" s="1"/>
  <c r="D241" i="4" a="1"/>
  <c r="D241" i="4" s="1"/>
  <c r="Q241" i="4" s="1" a="1"/>
  <c r="Q241" i="4" s="1"/>
  <c r="AD241" i="4" s="1" a="1"/>
  <c r="AD241" i="4" s="1"/>
  <c r="I241" i="4" a="1"/>
  <c r="I241" i="4" s="1"/>
  <c r="V241" i="4" s="1" a="1"/>
  <c r="V241" i="4" s="1"/>
  <c r="B241" i="4" a="1"/>
  <c r="B241" i="4" s="1"/>
  <c r="O241" i="4" s="1" a="1"/>
  <c r="O241" i="4" s="1"/>
  <c r="A242" i="4"/>
  <c r="J241" i="4" a="1"/>
  <c r="J241" i="4" s="1"/>
  <c r="W241" i="4" s="1" a="1"/>
  <c r="W241" i="4" s="1"/>
  <c r="H241" i="4" a="1"/>
  <c r="H241" i="4" s="1"/>
  <c r="U241" i="4" s="1" a="1"/>
  <c r="U241" i="4" s="1"/>
  <c r="AH241" i="4" s="1" a="1"/>
  <c r="AH241" i="4" s="1"/>
  <c r="G241" i="4" a="1"/>
  <c r="G241" i="4" s="1"/>
  <c r="T241" i="4" s="1" a="1"/>
  <c r="T241" i="4" s="1"/>
  <c r="AG241" i="4" s="1" a="1"/>
  <c r="AG241" i="4" s="1"/>
  <c r="E241" i="4" a="1"/>
  <c r="E241" i="4" s="1"/>
  <c r="R241" i="4" s="1" a="1"/>
  <c r="R241" i="4" s="1"/>
  <c r="AE241" i="4" s="1" a="1"/>
  <c r="AE241" i="4" s="1"/>
  <c r="F241" i="4" a="1"/>
  <c r="F241" i="4" s="1"/>
  <c r="S241" i="4" s="1" a="1"/>
  <c r="S241" i="4" s="1"/>
  <c r="AF241" i="4" s="1" a="1"/>
  <c r="AF241" i="4" s="1"/>
  <c r="C241" i="4" a="1"/>
  <c r="C241" i="4" s="1"/>
  <c r="P241" i="4" s="1" a="1"/>
  <c r="P241" i="4" s="1"/>
  <c r="AC241" i="4" s="1" a="1"/>
  <c r="AC241" i="4" s="1"/>
  <c r="O87" i="4"/>
  <c r="O98" i="4"/>
  <c r="F4" i="2"/>
  <c r="K4" i="2"/>
  <c r="D4" i="2"/>
  <c r="I4" i="2"/>
  <c r="G4" i="2"/>
  <c r="G5" i="2" s="1"/>
  <c r="J4" i="2"/>
  <c r="S28" i="4"/>
  <c r="S27" i="4"/>
  <c r="S42" i="4"/>
  <c r="T26" i="4"/>
  <c r="J34" i="2"/>
  <c r="J35" i="2" s="1"/>
  <c r="H35" i="2"/>
  <c r="H4" i="2" s="1"/>
  <c r="G242" i="4" l="1" a="1"/>
  <c r="G242" i="4" s="1"/>
  <c r="T242" i="4" s="1" a="1"/>
  <c r="T242" i="4" s="1"/>
  <c r="AG242" i="4" s="1" a="1"/>
  <c r="AG242" i="4" s="1"/>
  <c r="F242" i="4" a="1"/>
  <c r="F242" i="4" s="1"/>
  <c r="S242" i="4" s="1" a="1"/>
  <c r="S242" i="4" s="1"/>
  <c r="AF242" i="4" s="1" a="1"/>
  <c r="AF242" i="4" s="1"/>
  <c r="A243" i="4"/>
  <c r="E242" i="4" a="1"/>
  <c r="E242" i="4" s="1"/>
  <c r="R242" i="4" s="1" a="1"/>
  <c r="R242" i="4" s="1"/>
  <c r="AE242" i="4" s="1" a="1"/>
  <c r="AE242" i="4" s="1"/>
  <c r="K242" i="4" a="1"/>
  <c r="K242" i="4" s="1"/>
  <c r="X242" i="4" s="1" a="1"/>
  <c r="X242" i="4" s="1"/>
  <c r="D242" i="4" a="1"/>
  <c r="D242" i="4" s="1"/>
  <c r="Q242" i="4" s="1" a="1"/>
  <c r="Q242" i="4" s="1"/>
  <c r="AD242" i="4" s="1" a="1"/>
  <c r="AD242" i="4" s="1"/>
  <c r="J242" i="4" a="1"/>
  <c r="J242" i="4" s="1"/>
  <c r="W242" i="4" s="1" a="1"/>
  <c r="W242" i="4" s="1"/>
  <c r="C242" i="4" a="1"/>
  <c r="C242" i="4" s="1"/>
  <c r="P242" i="4" s="1" a="1"/>
  <c r="P242" i="4" s="1"/>
  <c r="AC242" i="4" s="1" a="1"/>
  <c r="AC242" i="4" s="1"/>
  <c r="H242" i="4" a="1"/>
  <c r="H242" i="4" s="1"/>
  <c r="U242" i="4" s="1" a="1"/>
  <c r="U242" i="4" s="1"/>
  <c r="AH242" i="4" s="1" a="1"/>
  <c r="AH242" i="4" s="1"/>
  <c r="B242" i="4" a="1"/>
  <c r="B242" i="4" s="1"/>
  <c r="O242" i="4" s="1" a="1"/>
  <c r="O242" i="4" s="1"/>
  <c r="I242" i="4" a="1"/>
  <c r="I242" i="4" s="1"/>
  <c r="V242" i="4" s="1" a="1"/>
  <c r="V242" i="4" s="1"/>
  <c r="Z72" i="12"/>
  <c r="K72" i="12"/>
  <c r="X72" i="12"/>
  <c r="I72" i="12"/>
  <c r="W72" i="12"/>
  <c r="H72" i="12"/>
  <c r="V72" i="12"/>
  <c r="G72" i="12"/>
  <c r="T72" i="12"/>
  <c r="E72" i="12"/>
  <c r="S72" i="12"/>
  <c r="P72" i="12"/>
  <c r="L72" i="12"/>
  <c r="J72" i="12"/>
  <c r="F72" i="12"/>
  <c r="Y72" i="12"/>
  <c r="U72" i="12"/>
  <c r="R72" i="12"/>
  <c r="Q72" i="12"/>
  <c r="M72" i="12"/>
  <c r="C72" i="12"/>
  <c r="D72" i="12"/>
  <c r="AB241" i="4" a="1"/>
  <c r="AB241" i="4" s="1"/>
  <c r="L241" i="4"/>
  <c r="Y241" i="4" s="1" a="1"/>
  <c r="Y241" i="4" s="1"/>
  <c r="P98" i="4"/>
  <c r="P87" i="4"/>
  <c r="P92" i="4"/>
  <c r="P81" i="4"/>
  <c r="T158" i="4"/>
  <c r="T151" i="4"/>
  <c r="T155" i="4"/>
  <c r="T157" i="4"/>
  <c r="T145" i="4"/>
  <c r="U144" i="4"/>
  <c r="T149" i="4"/>
  <c r="T150" i="4"/>
  <c r="T152" i="4"/>
  <c r="T156" i="4"/>
  <c r="T147" i="4"/>
  <c r="T154" i="4"/>
  <c r="T148" i="4"/>
  <c r="T153" i="4"/>
  <c r="T28" i="4"/>
  <c r="U26" i="4"/>
  <c r="T42" i="4"/>
  <c r="T27" i="4"/>
  <c r="P93" i="4"/>
  <c r="P82" i="4"/>
  <c r="M54" i="12"/>
  <c r="Y54" i="12"/>
  <c r="I54" i="12"/>
  <c r="V54" i="12"/>
  <c r="F54" i="12"/>
  <c r="U54" i="12"/>
  <c r="E54" i="12"/>
  <c r="S54" i="12"/>
  <c r="C54" i="12"/>
  <c r="R54" i="12"/>
  <c r="Q54" i="12"/>
  <c r="T54" i="12"/>
  <c r="P54" i="12"/>
  <c r="L54" i="12"/>
  <c r="K54" i="12"/>
  <c r="J54" i="12"/>
  <c r="G54" i="12"/>
  <c r="H54" i="12"/>
  <c r="D54" i="12"/>
  <c r="Z54" i="12"/>
  <c r="X54" i="12"/>
  <c r="W54" i="12"/>
  <c r="Q77" i="4"/>
  <c r="Q85" i="4"/>
  <c r="Q96" i="4" s="1"/>
  <c r="Q69" i="4"/>
  <c r="Q79" i="4" s="1"/>
  <c r="Q90" i="4" s="1"/>
  <c r="Q66" i="4"/>
  <c r="Q63" i="4"/>
  <c r="Q100" i="4" s="1" a="1"/>
  <c r="Q100" i="4" s="1"/>
  <c r="Q89" i="4"/>
  <c r="Q67" i="4"/>
  <c r="Q68" i="4" s="1"/>
  <c r="Q86" i="4"/>
  <c r="Q97" i="4" s="1"/>
  <c r="R61" i="4"/>
  <c r="Q71" i="4"/>
  <c r="Q78" i="4"/>
  <c r="Q88" i="4" s="1"/>
  <c r="Q99" i="4" s="1"/>
  <c r="Q76" i="4"/>
  <c r="Q64" i="4"/>
  <c r="Q65" i="4"/>
  <c r="Q74" i="4"/>
  <c r="Q84" i="4" s="1"/>
  <c r="Q95" i="4" s="1"/>
  <c r="Q72" i="4"/>
  <c r="Q62" i="4"/>
  <c r="Q73" i="4"/>
  <c r="Q83" i="4" s="1"/>
  <c r="Q94" i="4" s="1"/>
  <c r="Q75" i="4"/>
  <c r="Q70" i="4"/>
  <c r="Q80" i="4" s="1"/>
  <c r="Q91" i="4" s="1"/>
  <c r="M241" i="4"/>
  <c r="Z241" i="4" s="1" a="1"/>
  <c r="Z241" i="4" s="1"/>
  <c r="M242" i="4" l="1"/>
  <c r="Z242" i="4" s="1" a="1"/>
  <c r="Z242" i="4" s="1"/>
  <c r="AB242" i="4" a="1"/>
  <c r="AB242" i="4" s="1"/>
  <c r="L242" i="4"/>
  <c r="Y242" i="4" s="1" a="1"/>
  <c r="Y242" i="4" s="1"/>
  <c r="U42" i="4"/>
  <c r="V26" i="4"/>
  <c r="U27" i="4"/>
  <c r="U28" i="4"/>
  <c r="Q98" i="4"/>
  <c r="Q87" i="4"/>
  <c r="Q81" i="4"/>
  <c r="Q92" i="4"/>
  <c r="Q93" i="4"/>
  <c r="Q82" i="4"/>
  <c r="R85" i="4"/>
  <c r="R96" i="4" s="1"/>
  <c r="R78" i="4"/>
  <c r="R88" i="4" s="1"/>
  <c r="R99" i="4" s="1"/>
  <c r="R71" i="4"/>
  <c r="R64" i="4"/>
  <c r="R73" i="4"/>
  <c r="R83" i="4" s="1"/>
  <c r="R94" i="4" s="1"/>
  <c r="R69" i="4"/>
  <c r="R79" i="4" s="1"/>
  <c r="R90" i="4" s="1"/>
  <c r="R66" i="4"/>
  <c r="R63" i="4"/>
  <c r="R89" i="4"/>
  <c r="R72" i="4"/>
  <c r="R65" i="4"/>
  <c r="R76" i="4"/>
  <c r="R75" i="4"/>
  <c r="R70" i="4"/>
  <c r="R80" i="4" s="1"/>
  <c r="R91" i="4" s="1"/>
  <c r="R100" i="4" a="1"/>
  <c r="R100" i="4" s="1"/>
  <c r="R74" i="4"/>
  <c r="R84" i="4" s="1"/>
  <c r="R95" i="4" s="1"/>
  <c r="R62" i="4"/>
  <c r="R77" i="4"/>
  <c r="R86" i="4"/>
  <c r="R97" i="4" s="1"/>
  <c r="R67" i="4"/>
  <c r="R68" i="4" s="1"/>
  <c r="S61" i="4"/>
  <c r="K243" i="4" a="1"/>
  <c r="K243" i="4" s="1"/>
  <c r="X243" i="4" s="1" a="1"/>
  <c r="X243" i="4" s="1"/>
  <c r="D243" i="4" a="1"/>
  <c r="D243" i="4" s="1"/>
  <c r="Q243" i="4" s="1" a="1"/>
  <c r="Q243" i="4" s="1"/>
  <c r="AD243" i="4" s="1" a="1"/>
  <c r="AD243" i="4" s="1"/>
  <c r="J243" i="4" a="1"/>
  <c r="J243" i="4" s="1"/>
  <c r="W243" i="4" s="1" a="1"/>
  <c r="W243" i="4" s="1"/>
  <c r="I243" i="4" a="1"/>
  <c r="I243" i="4" s="1"/>
  <c r="V243" i="4" s="1" a="1"/>
  <c r="V243" i="4" s="1"/>
  <c r="B243" i="4" a="1"/>
  <c r="B243" i="4" s="1"/>
  <c r="O243" i="4" s="1" a="1"/>
  <c r="O243" i="4" s="1"/>
  <c r="A244" i="4"/>
  <c r="E243" i="4" a="1"/>
  <c r="E243" i="4" s="1"/>
  <c r="R243" i="4" s="1" a="1"/>
  <c r="R243" i="4" s="1"/>
  <c r="AE243" i="4" s="1" a="1"/>
  <c r="AE243" i="4" s="1"/>
  <c r="C243" i="4" a="1"/>
  <c r="C243" i="4" s="1"/>
  <c r="P243" i="4" s="1" a="1"/>
  <c r="P243" i="4" s="1"/>
  <c r="AC243" i="4" s="1" a="1"/>
  <c r="AC243" i="4" s="1"/>
  <c r="H243" i="4" a="1"/>
  <c r="H243" i="4" s="1"/>
  <c r="U243" i="4" s="1" a="1"/>
  <c r="U243" i="4" s="1"/>
  <c r="AH243" i="4" s="1" a="1"/>
  <c r="AH243" i="4" s="1"/>
  <c r="F243" i="4" a="1"/>
  <c r="F243" i="4" s="1"/>
  <c r="S243" i="4" s="1" a="1"/>
  <c r="S243" i="4" s="1"/>
  <c r="AF243" i="4" s="1" a="1"/>
  <c r="AF243" i="4" s="1"/>
  <c r="G243" i="4" a="1"/>
  <c r="G243" i="4" s="1"/>
  <c r="T243" i="4" s="1" a="1"/>
  <c r="T243" i="4" s="1"/>
  <c r="AG243" i="4" s="1" a="1"/>
  <c r="AG243" i="4" s="1"/>
  <c r="U158" i="4"/>
  <c r="U151" i="4"/>
  <c r="U149" i="4"/>
  <c r="U147" i="4"/>
  <c r="U150" i="4"/>
  <c r="V144" i="4"/>
  <c r="U152" i="4"/>
  <c r="U155" i="4"/>
  <c r="U145" i="4"/>
  <c r="U148" i="4"/>
  <c r="U153" i="4"/>
  <c r="U157" i="4"/>
  <c r="U156" i="4"/>
  <c r="U154" i="4"/>
  <c r="R87" i="4" l="1"/>
  <c r="R98" i="4"/>
  <c r="R92" i="4"/>
  <c r="R81" i="4"/>
  <c r="V27" i="4"/>
  <c r="V42" i="4"/>
  <c r="V28" i="4"/>
  <c r="W26" i="4"/>
  <c r="AB243" i="4" a="1"/>
  <c r="AB243" i="4" s="1"/>
  <c r="L243" i="4"/>
  <c r="Y243" i="4" s="1" a="1"/>
  <c r="Y243" i="4" s="1"/>
  <c r="R93" i="4"/>
  <c r="R82" i="4"/>
  <c r="M243" i="4"/>
  <c r="Z243" i="4" s="1" a="1"/>
  <c r="Z243" i="4" s="1"/>
  <c r="G244" i="4" a="1"/>
  <c r="G244" i="4" s="1"/>
  <c r="T244" i="4" s="1" a="1"/>
  <c r="T244" i="4" s="1"/>
  <c r="AG244" i="4" s="1" a="1"/>
  <c r="AG244" i="4" s="1"/>
  <c r="F244" i="4" a="1"/>
  <c r="F244" i="4" s="1"/>
  <c r="S244" i="4" s="1" a="1"/>
  <c r="S244" i="4" s="1"/>
  <c r="AF244" i="4" s="1" a="1"/>
  <c r="AF244" i="4" s="1"/>
  <c r="A245" i="4"/>
  <c r="E244" i="4" a="1"/>
  <c r="E244" i="4" s="1"/>
  <c r="R244" i="4" s="1" a="1"/>
  <c r="R244" i="4" s="1"/>
  <c r="AE244" i="4" s="1" a="1"/>
  <c r="AE244" i="4" s="1"/>
  <c r="K244" i="4" a="1"/>
  <c r="K244" i="4" s="1"/>
  <c r="X244" i="4" s="1" a="1"/>
  <c r="X244" i="4" s="1"/>
  <c r="D244" i="4" a="1"/>
  <c r="D244" i="4" s="1"/>
  <c r="Q244" i="4" s="1" a="1"/>
  <c r="Q244" i="4" s="1"/>
  <c r="AD244" i="4" s="1" a="1"/>
  <c r="AD244" i="4" s="1"/>
  <c r="J244" i="4" a="1"/>
  <c r="J244" i="4" s="1"/>
  <c r="W244" i="4" s="1" a="1"/>
  <c r="W244" i="4" s="1"/>
  <c r="B244" i="4" a="1"/>
  <c r="B244" i="4" s="1"/>
  <c r="O244" i="4" s="1" a="1"/>
  <c r="O244" i="4" s="1"/>
  <c r="I244" i="4" a="1"/>
  <c r="I244" i="4" s="1"/>
  <c r="V244" i="4" s="1" a="1"/>
  <c r="V244" i="4" s="1"/>
  <c r="C244" i="4" a="1"/>
  <c r="C244" i="4" s="1"/>
  <c r="P244" i="4" s="1" a="1"/>
  <c r="P244" i="4" s="1"/>
  <c r="AC244" i="4" s="1" a="1"/>
  <c r="AC244" i="4" s="1"/>
  <c r="H244" i="4" a="1"/>
  <c r="H244" i="4" s="1"/>
  <c r="U244" i="4" s="1" a="1"/>
  <c r="U244" i="4" s="1"/>
  <c r="AH244" i="4" s="1" a="1"/>
  <c r="AH244" i="4" s="1"/>
  <c r="V152" i="4"/>
  <c r="V145" i="4"/>
  <c r="V158" i="4"/>
  <c r="V153" i="4"/>
  <c r="V149" i="4"/>
  <c r="V156" i="4"/>
  <c r="V154" i="4"/>
  <c r="V151" i="4"/>
  <c r="V150" i="4"/>
  <c r="V148" i="4"/>
  <c r="V155" i="4"/>
  <c r="V157" i="4"/>
  <c r="W144" i="4"/>
  <c r="V147" i="4"/>
  <c r="S89" i="4"/>
  <c r="S85" i="4"/>
  <c r="S96" i="4" s="1"/>
  <c r="S72" i="4"/>
  <c r="S76" i="4"/>
  <c r="S67" i="4"/>
  <c r="S68" i="4" s="1"/>
  <c r="S74" i="4"/>
  <c r="S84" i="4" s="1"/>
  <c r="S95" i="4" s="1"/>
  <c r="S73" i="4"/>
  <c r="S83" i="4" s="1"/>
  <c r="S94" i="4" s="1"/>
  <c r="S64" i="4"/>
  <c r="S86" i="4"/>
  <c r="S97" i="4" s="1"/>
  <c r="S62" i="4"/>
  <c r="T61" i="4"/>
  <c r="S78" i="4"/>
  <c r="S88" i="4" s="1"/>
  <c r="S99" i="4" s="1"/>
  <c r="S77" i="4"/>
  <c r="S75" i="4"/>
  <c r="S63" i="4"/>
  <c r="S100" i="4" s="1" a="1"/>
  <c r="S100" i="4" s="1"/>
  <c r="S71" i="4"/>
  <c r="S69" i="4"/>
  <c r="S79" i="4" s="1"/>
  <c r="S90" i="4" s="1"/>
  <c r="S65" i="4"/>
  <c r="S70" i="4"/>
  <c r="S80" i="4" s="1"/>
  <c r="S91" i="4" s="1"/>
  <c r="S66" i="4"/>
  <c r="S93" i="4" l="1"/>
  <c r="S82" i="4"/>
  <c r="AB244" i="4" a="1"/>
  <c r="AB244" i="4" s="1"/>
  <c r="L244" i="4"/>
  <c r="Y244" i="4" s="1" a="1"/>
  <c r="Y244" i="4" s="1"/>
  <c r="S92" i="4"/>
  <c r="S81" i="4"/>
  <c r="S98" i="4"/>
  <c r="S87" i="4"/>
  <c r="W27" i="4"/>
  <c r="W28" i="4"/>
  <c r="W42" i="4"/>
  <c r="T73" i="4"/>
  <c r="T83" i="4" s="1"/>
  <c r="T94" i="4" s="1"/>
  <c r="T66" i="4"/>
  <c r="T100" i="4" a="1"/>
  <c r="T100" i="4" s="1"/>
  <c r="T89" i="4"/>
  <c r="T75" i="4"/>
  <c r="T72" i="4"/>
  <c r="T76" i="4"/>
  <c r="T65" i="4"/>
  <c r="T64" i="4"/>
  <c r="T78" i="4"/>
  <c r="T88" i="4" s="1"/>
  <c r="T99" i="4" s="1"/>
  <c r="T77" i="4"/>
  <c r="T69" i="4"/>
  <c r="T79" i="4" s="1"/>
  <c r="T90" i="4" s="1"/>
  <c r="T71" i="4"/>
  <c r="T62" i="4"/>
  <c r="T63" i="4"/>
  <c r="U61" i="4"/>
  <c r="T86" i="4"/>
  <c r="T97" i="4" s="1"/>
  <c r="T67" i="4"/>
  <c r="T68" i="4" s="1"/>
  <c r="T85" i="4"/>
  <c r="T96" i="4" s="1"/>
  <c r="T70" i="4"/>
  <c r="T80" i="4" s="1"/>
  <c r="T91" i="4" s="1"/>
  <c r="T74" i="4"/>
  <c r="T84" i="4" s="1"/>
  <c r="T95" i="4" s="1"/>
  <c r="K245" i="4" a="1"/>
  <c r="K245" i="4" s="1"/>
  <c r="X245" i="4" s="1" a="1"/>
  <c r="X245" i="4" s="1"/>
  <c r="D245" i="4" a="1"/>
  <c r="D245" i="4" s="1"/>
  <c r="Q245" i="4" s="1" a="1"/>
  <c r="Q245" i="4" s="1"/>
  <c r="AD245" i="4" s="1" a="1"/>
  <c r="AD245" i="4" s="1"/>
  <c r="J245" i="4" a="1"/>
  <c r="J245" i="4" s="1"/>
  <c r="W245" i="4" s="1" a="1"/>
  <c r="W245" i="4" s="1"/>
  <c r="C245" i="4" a="1"/>
  <c r="C245" i="4" s="1"/>
  <c r="P245" i="4" s="1" a="1"/>
  <c r="P245" i="4" s="1"/>
  <c r="AC245" i="4" s="1" a="1"/>
  <c r="AC245" i="4" s="1"/>
  <c r="I245" i="4" a="1"/>
  <c r="I245" i="4" s="1"/>
  <c r="V245" i="4" s="1" a="1"/>
  <c r="V245" i="4" s="1"/>
  <c r="B245" i="4" a="1"/>
  <c r="B245" i="4" s="1"/>
  <c r="O245" i="4" s="1" a="1"/>
  <c r="O245" i="4" s="1"/>
  <c r="H245" i="4" a="1"/>
  <c r="H245" i="4" s="1"/>
  <c r="U245" i="4" s="1" a="1"/>
  <c r="U245" i="4" s="1"/>
  <c r="AH245" i="4" s="1" a="1"/>
  <c r="AH245" i="4" s="1"/>
  <c r="G245" i="4" a="1"/>
  <c r="G245" i="4" s="1"/>
  <c r="T245" i="4" s="1" a="1"/>
  <c r="T245" i="4" s="1"/>
  <c r="AG245" i="4" s="1" a="1"/>
  <c r="AG245" i="4" s="1"/>
  <c r="F245" i="4" a="1"/>
  <c r="F245" i="4" s="1"/>
  <c r="S245" i="4" s="1" a="1"/>
  <c r="S245" i="4" s="1"/>
  <c r="AF245" i="4" s="1" a="1"/>
  <c r="AF245" i="4" s="1"/>
  <c r="E245" i="4" a="1"/>
  <c r="E245" i="4" s="1"/>
  <c r="R245" i="4" s="1" a="1"/>
  <c r="R245" i="4" s="1"/>
  <c r="AE245" i="4" s="1" a="1"/>
  <c r="AE245" i="4" s="1"/>
  <c r="A246" i="4"/>
  <c r="M244" i="4"/>
  <c r="Z244" i="4" s="1" a="1"/>
  <c r="Z244" i="4" s="1"/>
  <c r="W152" i="4"/>
  <c r="W145" i="4"/>
  <c r="W149" i="4"/>
  <c r="W156" i="4"/>
  <c r="W154" i="4"/>
  <c r="W150" i="4"/>
  <c r="W148" i="4"/>
  <c r="X144" i="4"/>
  <c r="W155" i="4"/>
  <c r="W151" i="4"/>
  <c r="W147" i="4"/>
  <c r="W157" i="4"/>
  <c r="W158" i="4"/>
  <c r="W153" i="4"/>
  <c r="T87" i="4" l="1"/>
  <c r="T98" i="4"/>
  <c r="M245" i="4"/>
  <c r="Z245" i="4" s="1" a="1"/>
  <c r="Z245" i="4" s="1"/>
  <c r="T82" i="4"/>
  <c r="T93" i="4"/>
  <c r="X153" i="4"/>
  <c r="X149" i="4"/>
  <c r="X156" i="4"/>
  <c r="X154" i="4"/>
  <c r="X152" i="4"/>
  <c r="Y144" i="4"/>
  <c r="X148" i="4"/>
  <c r="X147" i="4"/>
  <c r="X155" i="4"/>
  <c r="X151" i="4"/>
  <c r="X145" i="4"/>
  <c r="X157" i="4"/>
  <c r="X158" i="4"/>
  <c r="X150" i="4"/>
  <c r="AB245" i="4" a="1"/>
  <c r="AB245" i="4" s="1"/>
  <c r="L245" i="4"/>
  <c r="Y245" i="4" s="1" a="1"/>
  <c r="Y245" i="4" s="1"/>
  <c r="U76" i="4"/>
  <c r="U65" i="4"/>
  <c r="U62" i="4"/>
  <c r="U66" i="4"/>
  <c r="U63" i="4"/>
  <c r="U86" i="4"/>
  <c r="U97" i="4" s="1"/>
  <c r="U85" i="4"/>
  <c r="U96" i="4" s="1"/>
  <c r="U73" i="4"/>
  <c r="U83" i="4" s="1"/>
  <c r="U94" i="4" s="1"/>
  <c r="U69" i="4"/>
  <c r="U79" i="4" s="1"/>
  <c r="U90" i="4" s="1"/>
  <c r="U70" i="4"/>
  <c r="U80" i="4" s="1"/>
  <c r="U91" i="4" s="1"/>
  <c r="U64" i="4"/>
  <c r="U78" i="4"/>
  <c r="U88" i="4" s="1"/>
  <c r="U99" i="4" s="1"/>
  <c r="U89" i="4"/>
  <c r="U71" i="4"/>
  <c r="U67" i="4"/>
  <c r="U68" i="4" s="1"/>
  <c r="U77" i="4"/>
  <c r="U75" i="4"/>
  <c r="U72" i="4"/>
  <c r="U74" i="4"/>
  <c r="U84" i="4" s="1"/>
  <c r="U95" i="4" s="1"/>
  <c r="T81" i="4"/>
  <c r="T92" i="4"/>
  <c r="H246" i="4" a="1"/>
  <c r="H246" i="4" s="1"/>
  <c r="U246" i="4" s="1" a="1"/>
  <c r="U246" i="4" s="1"/>
  <c r="AH246" i="4" s="1" a="1"/>
  <c r="AH246" i="4" s="1"/>
  <c r="G246" i="4" a="1"/>
  <c r="G246" i="4" s="1"/>
  <c r="T246" i="4" s="1" a="1"/>
  <c r="T246" i="4" s="1"/>
  <c r="AG246" i="4" s="1" a="1"/>
  <c r="AG246" i="4" s="1"/>
  <c r="A247" i="4"/>
  <c r="F246" i="4" a="1"/>
  <c r="F246" i="4" s="1"/>
  <c r="S246" i="4" s="1" a="1"/>
  <c r="S246" i="4" s="1"/>
  <c r="AF246" i="4" s="1" a="1"/>
  <c r="AF246" i="4" s="1"/>
  <c r="E246" i="4" a="1"/>
  <c r="E246" i="4" s="1"/>
  <c r="R246" i="4" s="1" a="1"/>
  <c r="R246" i="4" s="1"/>
  <c r="AE246" i="4" s="1" a="1"/>
  <c r="AE246" i="4" s="1"/>
  <c r="D246" i="4" a="1"/>
  <c r="D246" i="4" s="1"/>
  <c r="Q246" i="4" s="1" a="1"/>
  <c r="Q246" i="4" s="1"/>
  <c r="AD246" i="4" s="1" a="1"/>
  <c r="AD246" i="4" s="1"/>
  <c r="C246" i="4" a="1"/>
  <c r="C246" i="4" s="1"/>
  <c r="P246" i="4" s="1" a="1"/>
  <c r="P246" i="4" s="1"/>
  <c r="AC246" i="4" s="1" a="1"/>
  <c r="AC246" i="4" s="1"/>
  <c r="B246" i="4" a="1"/>
  <c r="B246" i="4" s="1"/>
  <c r="O246" i="4" s="1" a="1"/>
  <c r="O246" i="4" s="1"/>
  <c r="J246" i="4" a="1"/>
  <c r="J246" i="4" s="1"/>
  <c r="W246" i="4" s="1" a="1"/>
  <c r="W246" i="4" s="1"/>
  <c r="K246" i="4" a="1"/>
  <c r="K246" i="4" s="1"/>
  <c r="X246" i="4" s="1" a="1"/>
  <c r="X246" i="4" s="1"/>
  <c r="I246" i="4" a="1"/>
  <c r="I246" i="4" s="1"/>
  <c r="V246" i="4" s="1" a="1"/>
  <c r="V246" i="4" s="1"/>
  <c r="U93" i="4" l="1"/>
  <c r="U82" i="4"/>
  <c r="V69" i="2"/>
  <c r="V78" i="2"/>
  <c r="V79" i="2"/>
  <c r="V57" i="2"/>
  <c r="V63" i="2"/>
  <c r="V62" i="2"/>
  <c r="V55" i="2"/>
  <c r="V64" i="2"/>
  <c r="V70" i="2"/>
  <c r="V76" i="2"/>
  <c r="V65" i="2"/>
  <c r="V72" i="2"/>
  <c r="V71" i="2"/>
  <c r="V77" i="2"/>
  <c r="V58" i="2"/>
  <c r="V56" i="2"/>
  <c r="L246" i="4"/>
  <c r="Y246" i="4" s="1" a="1"/>
  <c r="Y246" i="4" s="1"/>
  <c r="AB246" i="4" a="1"/>
  <c r="AB246" i="4" s="1"/>
  <c r="U69" i="2"/>
  <c r="U78" i="2"/>
  <c r="U79" i="2"/>
  <c r="U76" i="2"/>
  <c r="U55" i="2"/>
  <c r="U71" i="2"/>
  <c r="U56" i="2"/>
  <c r="U64" i="2"/>
  <c r="U63" i="2"/>
  <c r="U57" i="2"/>
  <c r="U70" i="2"/>
  <c r="U58" i="2"/>
  <c r="U77" i="2"/>
  <c r="U62" i="2"/>
  <c r="U65" i="2"/>
  <c r="U72" i="2"/>
  <c r="L58" i="2" a="1"/>
  <c r="L58" i="2" s="1"/>
  <c r="L57" i="2" a="1"/>
  <c r="L57" i="2" s="1"/>
  <c r="U98" i="4"/>
  <c r="U87" i="4"/>
  <c r="U81" i="4"/>
  <c r="U92" i="4"/>
  <c r="U100" i="4" a="1"/>
  <c r="U100" i="4" s="1"/>
  <c r="F247" i="4" a="1"/>
  <c r="F247" i="4" s="1"/>
  <c r="S247" i="4" s="1" a="1"/>
  <c r="S247" i="4" s="1"/>
  <c r="AF247" i="4" s="1" a="1"/>
  <c r="AF247" i="4" s="1"/>
  <c r="E247" i="4" a="1"/>
  <c r="E247" i="4" s="1"/>
  <c r="R247" i="4" s="1" a="1"/>
  <c r="R247" i="4" s="1"/>
  <c r="AE247" i="4" s="1" a="1"/>
  <c r="AE247" i="4" s="1"/>
  <c r="C247" i="4" a="1"/>
  <c r="C247" i="4" s="1"/>
  <c r="P247" i="4" s="1" a="1"/>
  <c r="P247" i="4" s="1"/>
  <c r="AC247" i="4" s="1" a="1"/>
  <c r="AC247" i="4" s="1"/>
  <c r="B247" i="4" a="1"/>
  <c r="B247" i="4" s="1"/>
  <c r="O247" i="4" s="1" a="1"/>
  <c r="O247" i="4" s="1"/>
  <c r="K247" i="4" a="1"/>
  <c r="K247" i="4" s="1"/>
  <c r="X247" i="4" s="1" a="1"/>
  <c r="X247" i="4" s="1"/>
  <c r="J247" i="4" a="1"/>
  <c r="J247" i="4" s="1"/>
  <c r="W247" i="4" s="1" a="1"/>
  <c r="W247" i="4" s="1"/>
  <c r="H247" i="4" a="1"/>
  <c r="H247" i="4" s="1"/>
  <c r="U247" i="4" s="1" a="1"/>
  <c r="U247" i="4" s="1"/>
  <c r="AH247" i="4" s="1" a="1"/>
  <c r="AH247" i="4" s="1"/>
  <c r="G247" i="4" a="1"/>
  <c r="G247" i="4" s="1"/>
  <c r="T247" i="4" s="1" a="1"/>
  <c r="T247" i="4" s="1"/>
  <c r="AG247" i="4" s="1" a="1"/>
  <c r="AG247" i="4" s="1"/>
  <c r="D247" i="4" a="1"/>
  <c r="D247" i="4" s="1"/>
  <c r="Q247" i="4" s="1" a="1"/>
  <c r="Q247" i="4" s="1"/>
  <c r="AD247" i="4" s="1" a="1"/>
  <c r="AD247" i="4" s="1"/>
  <c r="I247" i="4" a="1"/>
  <c r="I247" i="4" s="1"/>
  <c r="V247" i="4" s="1" a="1"/>
  <c r="V247" i="4" s="1"/>
  <c r="M246" i="4"/>
  <c r="Z246" i="4" s="1" a="1"/>
  <c r="Z246" i="4" s="1"/>
  <c r="Y153" i="4"/>
  <c r="Y156" i="4"/>
  <c r="Y154" i="4"/>
  <c r="Y152" i="4"/>
  <c r="Y158" i="4"/>
  <c r="Y147" i="4"/>
  <c r="Y149" i="4"/>
  <c r="Y148" i="4"/>
  <c r="Y151" i="4"/>
  <c r="Y145" i="4"/>
  <c r="Y150" i="4"/>
  <c r="Y157" i="4"/>
  <c r="Y155" i="4"/>
  <c r="Z151" i="4" l="1"/>
  <c r="Z154" i="4"/>
  <c r="Z156" i="4"/>
  <c r="Z153" i="4"/>
  <c r="Z152" i="4"/>
  <c r="Z157" i="4"/>
  <c r="Z158" i="4"/>
  <c r="Z155" i="4"/>
  <c r="Z150" i="4"/>
  <c r="K69" i="2"/>
  <c r="K55" i="2"/>
  <c r="K65" i="2"/>
  <c r="K63" i="2"/>
  <c r="K76" i="2"/>
  <c r="K79" i="2"/>
  <c r="K70" i="2"/>
  <c r="K71" i="2"/>
  <c r="K62" i="2"/>
  <c r="K78" i="2"/>
  <c r="K64" i="2"/>
  <c r="K77" i="2"/>
  <c r="K58" i="2"/>
  <c r="N58" i="2" s="1"/>
  <c r="O58" i="2" s="1"/>
  <c r="K56" i="2"/>
  <c r="K57" i="2"/>
  <c r="N57" i="2" s="1"/>
  <c r="K72" i="2"/>
  <c r="Z148" i="4"/>
  <c r="Z149" i="4"/>
  <c r="L55" i="2" a="1"/>
  <c r="L55" i="2" s="1"/>
  <c r="M247" i="4"/>
  <c r="Z247" i="4" s="1" a="1"/>
  <c r="Z247" i="4" s="1"/>
  <c r="Z147" i="4"/>
  <c r="AB247" i="4" a="1"/>
  <c r="AB247" i="4" s="1"/>
  <c r="L247" i="4"/>
  <c r="Y247" i="4" s="1" a="1"/>
  <c r="Y247" i="4" s="1"/>
  <c r="L56" i="2" a="1"/>
  <c r="L56" i="2" s="1"/>
  <c r="N71" i="2" l="1"/>
  <c r="AT71" i="2" s="1"/>
  <c r="J170" i="4"/>
  <c r="S170" i="4"/>
  <c r="Y170" i="4"/>
  <c r="N170" i="4"/>
  <c r="W170" i="4"/>
  <c r="E170" i="4"/>
  <c r="M170" i="4"/>
  <c r="U170" i="4"/>
  <c r="I170" i="4"/>
  <c r="F170" i="4"/>
  <c r="X170" i="4"/>
  <c r="T170" i="4"/>
  <c r="O170" i="4"/>
  <c r="H170" i="4"/>
  <c r="G170" i="4"/>
  <c r="K170" i="4"/>
  <c r="V170" i="4"/>
  <c r="D170" i="4"/>
  <c r="C170" i="4"/>
  <c r="R170" i="4"/>
  <c r="Q170" i="4"/>
  <c r="B170" i="4"/>
  <c r="L170" i="4"/>
  <c r="P170" i="4"/>
  <c r="C161" i="4"/>
  <c r="F161" i="4"/>
  <c r="P161" i="4"/>
  <c r="E161" i="4"/>
  <c r="W161" i="4"/>
  <c r="D161" i="4"/>
  <c r="T161" i="4"/>
  <c r="V161" i="4"/>
  <c r="Q161" i="4"/>
  <c r="B161" i="4"/>
  <c r="G161" i="4"/>
  <c r="N161" i="4"/>
  <c r="Y161" i="4"/>
  <c r="U161" i="4"/>
  <c r="S161" i="4"/>
  <c r="R161" i="4"/>
  <c r="J161" i="4"/>
  <c r="O161" i="4"/>
  <c r="I161" i="4"/>
  <c r="L161" i="4"/>
  <c r="X161" i="4"/>
  <c r="M161" i="4"/>
  <c r="H161" i="4"/>
  <c r="K161" i="4"/>
  <c r="T72" i="2"/>
  <c r="M55" i="2"/>
  <c r="N70" i="2"/>
  <c r="AT70" i="2" s="1"/>
  <c r="T69" i="2"/>
  <c r="AT57" i="2"/>
  <c r="N55" i="2"/>
  <c r="AT55" i="2" s="1"/>
  <c r="M58" i="2"/>
  <c r="T166" i="4"/>
  <c r="P166" i="4"/>
  <c r="I166" i="4"/>
  <c r="F166" i="4"/>
  <c r="S166" i="4"/>
  <c r="H166" i="4"/>
  <c r="Y166" i="4"/>
  <c r="Q166" i="4"/>
  <c r="E166" i="4"/>
  <c r="U166" i="4"/>
  <c r="O166" i="4"/>
  <c r="X166" i="4"/>
  <c r="N166" i="4"/>
  <c r="C166" i="4"/>
  <c r="B166" i="4"/>
  <c r="M166" i="4"/>
  <c r="R166" i="4"/>
  <c r="J166" i="4"/>
  <c r="L166" i="4"/>
  <c r="G166" i="4"/>
  <c r="K166" i="4"/>
  <c r="D166" i="4"/>
  <c r="W166" i="4"/>
  <c r="V166" i="4"/>
  <c r="T77" i="2"/>
  <c r="N64" i="2"/>
  <c r="O64" i="2" s="1"/>
  <c r="M57" i="2"/>
  <c r="K168" i="4"/>
  <c r="S168" i="4"/>
  <c r="T168" i="4"/>
  <c r="V168" i="4"/>
  <c r="R168" i="4"/>
  <c r="F168" i="4"/>
  <c r="Q168" i="4"/>
  <c r="B168" i="4"/>
  <c r="M168" i="4"/>
  <c r="D168" i="4"/>
  <c r="C168" i="4"/>
  <c r="L168" i="4"/>
  <c r="Y168" i="4"/>
  <c r="G168" i="4"/>
  <c r="H168" i="4"/>
  <c r="U168" i="4"/>
  <c r="P168" i="4"/>
  <c r="X168" i="4"/>
  <c r="J168" i="4"/>
  <c r="O168" i="4"/>
  <c r="W168" i="4"/>
  <c r="N168" i="4"/>
  <c r="I168" i="4"/>
  <c r="E168" i="4"/>
  <c r="M56" i="2"/>
  <c r="Y163" i="4"/>
  <c r="Q163" i="4"/>
  <c r="S163" i="4"/>
  <c r="I163" i="4"/>
  <c r="P163" i="4"/>
  <c r="V163" i="4"/>
  <c r="O163" i="4"/>
  <c r="D163" i="4"/>
  <c r="F163" i="4"/>
  <c r="K163" i="4"/>
  <c r="R163" i="4"/>
  <c r="N163" i="4"/>
  <c r="M163" i="4"/>
  <c r="H163" i="4"/>
  <c r="C163" i="4"/>
  <c r="G163" i="4"/>
  <c r="X163" i="4"/>
  <c r="J163" i="4"/>
  <c r="B163" i="4"/>
  <c r="E163" i="4"/>
  <c r="L163" i="4"/>
  <c r="W163" i="4"/>
  <c r="U163" i="4"/>
  <c r="T163" i="4"/>
  <c r="L164" i="4"/>
  <c r="H164" i="4"/>
  <c r="U164" i="4"/>
  <c r="K164" i="4"/>
  <c r="C164" i="4"/>
  <c r="I164" i="4"/>
  <c r="J164" i="4"/>
  <c r="V164" i="4"/>
  <c r="Y164" i="4"/>
  <c r="T164" i="4"/>
  <c r="G164" i="4"/>
  <c r="P164" i="4"/>
  <c r="X164" i="4"/>
  <c r="B164" i="4"/>
  <c r="E164" i="4"/>
  <c r="S164" i="4"/>
  <c r="F164" i="4"/>
  <c r="R164" i="4"/>
  <c r="M164" i="4"/>
  <c r="D164" i="4"/>
  <c r="Q164" i="4"/>
  <c r="N164" i="4"/>
  <c r="O164" i="4"/>
  <c r="W164" i="4"/>
  <c r="N78" i="2"/>
  <c r="O78" i="2" s="1"/>
  <c r="M171" i="4"/>
  <c r="R171" i="4"/>
  <c r="L171" i="4"/>
  <c r="D171" i="4"/>
  <c r="K171" i="4"/>
  <c r="C171" i="4"/>
  <c r="W171" i="4"/>
  <c r="V171" i="4"/>
  <c r="J171" i="4"/>
  <c r="F171" i="4"/>
  <c r="X171" i="4"/>
  <c r="P171" i="4"/>
  <c r="O171" i="4"/>
  <c r="T171" i="4"/>
  <c r="G171" i="4"/>
  <c r="I171" i="4"/>
  <c r="H171" i="4"/>
  <c r="E171" i="4"/>
  <c r="B171" i="4"/>
  <c r="U171" i="4"/>
  <c r="Y171" i="4"/>
  <c r="N171" i="4"/>
  <c r="Q171" i="4"/>
  <c r="S171" i="4"/>
  <c r="N79" i="2"/>
  <c r="O79" i="2" s="1"/>
  <c r="O57" i="2"/>
  <c r="N77" i="2"/>
  <c r="O77" i="2" s="1"/>
  <c r="T78" i="2"/>
  <c r="AT58" i="2"/>
  <c r="R165" i="4"/>
  <c r="E165" i="4"/>
  <c r="P165" i="4"/>
  <c r="D165" i="4"/>
  <c r="O165" i="4"/>
  <c r="Q165" i="4"/>
  <c r="N165" i="4"/>
  <c r="C165" i="4"/>
  <c r="I165" i="4"/>
  <c r="G165" i="4"/>
  <c r="Y165" i="4"/>
  <c r="W165" i="4"/>
  <c r="H165" i="4"/>
  <c r="M165" i="4"/>
  <c r="U165" i="4"/>
  <c r="B165" i="4"/>
  <c r="S165" i="4"/>
  <c r="T165" i="4"/>
  <c r="V165" i="4"/>
  <c r="L165" i="4"/>
  <c r="F165" i="4"/>
  <c r="K165" i="4"/>
  <c r="J165" i="4"/>
  <c r="X165" i="4"/>
  <c r="S162" i="4"/>
  <c r="G162" i="4"/>
  <c r="C162" i="4"/>
  <c r="E162" i="4"/>
  <c r="P162" i="4"/>
  <c r="D162" i="4"/>
  <c r="O162" i="4"/>
  <c r="B162" i="4"/>
  <c r="N162" i="4"/>
  <c r="Q162" i="4"/>
  <c r="J162" i="4"/>
  <c r="I162" i="4"/>
  <c r="V162" i="4"/>
  <c r="M162" i="4"/>
  <c r="W162" i="4"/>
  <c r="X162" i="4"/>
  <c r="H162" i="4"/>
  <c r="F162" i="4"/>
  <c r="U162" i="4"/>
  <c r="L162" i="4"/>
  <c r="T162" i="4"/>
  <c r="Y162" i="4"/>
  <c r="K162" i="4"/>
  <c r="R162" i="4"/>
  <c r="T71" i="2"/>
  <c r="N63" i="2"/>
  <c r="AT63" i="2" s="1"/>
  <c r="T70" i="2"/>
  <c r="C172" i="4"/>
  <c r="U172" i="4"/>
  <c r="E172" i="4"/>
  <c r="V172" i="4"/>
  <c r="N172" i="4"/>
  <c r="F172" i="4"/>
  <c r="T172" i="4"/>
  <c r="J172" i="4"/>
  <c r="P172" i="4"/>
  <c r="X172" i="4"/>
  <c r="O172" i="4"/>
  <c r="G172" i="4"/>
  <c r="M172" i="4"/>
  <c r="Y172" i="4"/>
  <c r="I172" i="4"/>
  <c r="L172" i="4"/>
  <c r="H172" i="4"/>
  <c r="W172" i="4"/>
  <c r="R172" i="4"/>
  <c r="B172" i="4"/>
  <c r="D172" i="4"/>
  <c r="S172" i="4"/>
  <c r="Q172" i="4"/>
  <c r="K172" i="4"/>
  <c r="N69" i="2"/>
  <c r="AT69" i="2" s="1"/>
  <c r="L169" i="4"/>
  <c r="O169" i="4"/>
  <c r="G169" i="4"/>
  <c r="Y169" i="4"/>
  <c r="S169" i="4"/>
  <c r="W169" i="4"/>
  <c r="K169" i="4"/>
  <c r="P169" i="4"/>
  <c r="R169" i="4"/>
  <c r="M169" i="4"/>
  <c r="F169" i="4"/>
  <c r="V169" i="4"/>
  <c r="Q169" i="4"/>
  <c r="J169" i="4"/>
  <c r="N169" i="4"/>
  <c r="D169" i="4"/>
  <c r="X169" i="4"/>
  <c r="I169" i="4"/>
  <c r="E169" i="4"/>
  <c r="H169" i="4"/>
  <c r="C169" i="4"/>
  <c r="U169" i="4"/>
  <c r="B169" i="4"/>
  <c r="T169" i="4"/>
  <c r="N72" i="2"/>
  <c r="O72" i="2" s="1"/>
  <c r="N65" i="2"/>
  <c r="AT65" i="2" s="1"/>
  <c r="T79" i="2"/>
  <c r="N167" i="4"/>
  <c r="J167" i="4"/>
  <c r="C167" i="4"/>
  <c r="T167" i="4"/>
  <c r="K167" i="4"/>
  <c r="S167" i="4"/>
  <c r="I167" i="4"/>
  <c r="V167" i="4"/>
  <c r="F167" i="4"/>
  <c r="E167" i="4"/>
  <c r="U167" i="4"/>
  <c r="B167" i="4"/>
  <c r="H167" i="4"/>
  <c r="M167" i="4"/>
  <c r="W167" i="4"/>
  <c r="G167" i="4"/>
  <c r="Y167" i="4"/>
  <c r="P167" i="4"/>
  <c r="R167" i="4"/>
  <c r="X167" i="4"/>
  <c r="Q167" i="4"/>
  <c r="L167" i="4"/>
  <c r="O167" i="4"/>
  <c r="D167" i="4"/>
  <c r="N56" i="2"/>
  <c r="T76" i="2"/>
  <c r="N62" i="2"/>
  <c r="O62" i="2" s="1"/>
  <c r="N76" i="2"/>
  <c r="AT76" i="2" s="1"/>
  <c r="T58" i="2" l="1"/>
  <c r="P58" i="2" s="1"/>
  <c r="R58" i="2" s="1"/>
  <c r="O69" i="2"/>
  <c r="F69" i="2" s="1"/>
  <c r="O71" i="2"/>
  <c r="F71" i="2" s="1"/>
  <c r="G71" i="2" s="1"/>
  <c r="J71" i="2" s="1"/>
  <c r="M71" i="2" s="1"/>
  <c r="T57" i="2"/>
  <c r="P57" i="2" s="1"/>
  <c r="R57" i="2" s="1"/>
  <c r="T56" i="2"/>
  <c r="P56" i="2" s="1"/>
  <c r="AT78" i="2"/>
  <c r="T64" i="2"/>
  <c r="P64" i="2" s="1"/>
  <c r="F78" i="2"/>
  <c r="G78" i="2" s="1"/>
  <c r="R78" i="2" s="1"/>
  <c r="T55" i="2"/>
  <c r="P55" i="2" s="1"/>
  <c r="T63" i="2"/>
  <c r="P63" i="2" s="1"/>
  <c r="O65" i="2"/>
  <c r="F72" i="2"/>
  <c r="G72" i="2" s="1"/>
  <c r="R72" i="2" s="1"/>
  <c r="P182" i="4"/>
  <c r="T187" i="4"/>
  <c r="L180" i="4"/>
  <c r="G179" i="4"/>
  <c r="K176" i="4"/>
  <c r="Z172" i="4"/>
  <c r="B202" i="4" s="1"/>
  <c r="B187" i="4"/>
  <c r="H176" i="4"/>
  <c r="Q176" i="4"/>
  <c r="C185" i="4"/>
  <c r="W185" i="4"/>
  <c r="G182" i="4"/>
  <c r="J182" i="4"/>
  <c r="I184" i="4"/>
  <c r="Y184" i="4"/>
  <c r="R187" i="4"/>
  <c r="N187" i="4"/>
  <c r="Y177" i="4"/>
  <c r="Z162" i="4"/>
  <c r="B192" i="4" s="1"/>
  <c r="B177" i="4"/>
  <c r="T180" i="4"/>
  <c r="D180" i="4"/>
  <c r="Q186" i="4"/>
  <c r="J186" i="4"/>
  <c r="O179" i="4"/>
  <c r="Y179" i="4"/>
  <c r="Z163" i="4"/>
  <c r="B193" i="4" s="1"/>
  <c r="B178" i="4"/>
  <c r="P178" i="4"/>
  <c r="X183" i="4"/>
  <c r="V183" i="4"/>
  <c r="W181" i="4"/>
  <c r="E181" i="4"/>
  <c r="O55" i="2"/>
  <c r="M176" i="4"/>
  <c r="V176" i="4"/>
  <c r="D185" i="4"/>
  <c r="N185" i="4"/>
  <c r="H184" i="4"/>
  <c r="Y182" i="4"/>
  <c r="C182" i="4"/>
  <c r="E184" i="4"/>
  <c r="S184" i="4"/>
  <c r="F187" i="4"/>
  <c r="K177" i="4"/>
  <c r="N177" i="4"/>
  <c r="V180" i="4"/>
  <c r="O180" i="4"/>
  <c r="S186" i="4"/>
  <c r="T179" i="4"/>
  <c r="E178" i="4"/>
  <c r="V178" i="4"/>
  <c r="J183" i="4"/>
  <c r="R183" i="4"/>
  <c r="V181" i="4"/>
  <c r="U181" i="4"/>
  <c r="N182" i="4"/>
  <c r="V179" i="4"/>
  <c r="M182" i="4"/>
  <c r="D184" i="4"/>
  <c r="O184" i="4"/>
  <c r="H187" i="4"/>
  <c r="E187" i="4"/>
  <c r="L177" i="4"/>
  <c r="D177" i="4"/>
  <c r="Z165" i="4"/>
  <c r="B195" i="4" s="1"/>
  <c r="B180" i="4"/>
  <c r="E180" i="4"/>
  <c r="Y186" i="4"/>
  <c r="W186" i="4"/>
  <c r="Q179" i="4"/>
  <c r="J179" i="4"/>
  <c r="X178" i="4"/>
  <c r="S178" i="4"/>
  <c r="U183" i="4"/>
  <c r="S183" i="4"/>
  <c r="K181" i="4"/>
  <c r="Y181" i="4"/>
  <c r="L176" i="4"/>
  <c r="D176" i="4"/>
  <c r="K185" i="4"/>
  <c r="S185" i="4"/>
  <c r="AT56" i="2"/>
  <c r="H182" i="4"/>
  <c r="F79" i="2"/>
  <c r="G79" i="2" s="1"/>
  <c r="N184" i="4"/>
  <c r="L184" i="4"/>
  <c r="L187" i="4"/>
  <c r="U187" i="4"/>
  <c r="U177" i="4"/>
  <c r="P177" i="4"/>
  <c r="U180" i="4"/>
  <c r="R180" i="4"/>
  <c r="U186" i="4"/>
  <c r="C186" i="4"/>
  <c r="D179" i="4"/>
  <c r="I179" i="4"/>
  <c r="G178" i="4"/>
  <c r="Q178" i="4"/>
  <c r="H183" i="4"/>
  <c r="K183" i="4"/>
  <c r="G181" i="4"/>
  <c r="H181" i="4"/>
  <c r="I176" i="4"/>
  <c r="W176" i="4"/>
  <c r="G185" i="4"/>
  <c r="J185" i="4"/>
  <c r="T182" i="4"/>
  <c r="D187" i="4"/>
  <c r="R177" i="4"/>
  <c r="Q177" i="4"/>
  <c r="Q180" i="4"/>
  <c r="X186" i="4"/>
  <c r="L178" i="4"/>
  <c r="O183" i="4"/>
  <c r="O181" i="4"/>
  <c r="Z161" i="4"/>
  <c r="B191" i="4" s="1"/>
  <c r="B176" i="4"/>
  <c r="W179" i="4"/>
  <c r="T176" i="4"/>
  <c r="Y185" i="4"/>
  <c r="Z167" i="4"/>
  <c r="B197" i="4" s="1"/>
  <c r="B182" i="4"/>
  <c r="T62" i="2"/>
  <c r="P62" i="2" s="1"/>
  <c r="I187" i="4"/>
  <c r="C187" i="4"/>
  <c r="F177" i="4"/>
  <c r="E177" i="4"/>
  <c r="M180" i="4"/>
  <c r="Z171" i="4"/>
  <c r="B201" i="4" s="1"/>
  <c r="B186" i="4"/>
  <c r="K186" i="4"/>
  <c r="M179" i="4"/>
  <c r="C179" i="4"/>
  <c r="C178" i="4"/>
  <c r="Y178" i="4"/>
  <c r="G183" i="4"/>
  <c r="L181" i="4"/>
  <c r="S181" i="4"/>
  <c r="O176" i="4"/>
  <c r="E176" i="4"/>
  <c r="H185" i="4"/>
  <c r="T65" i="2"/>
  <c r="P65" i="2" s="1"/>
  <c r="O178" i="4"/>
  <c r="F183" i="4"/>
  <c r="R185" i="4"/>
  <c r="F186" i="4"/>
  <c r="W182" i="4"/>
  <c r="X184" i="4"/>
  <c r="G184" i="4"/>
  <c r="W187" i="4"/>
  <c r="V187" i="4"/>
  <c r="T177" i="4"/>
  <c r="O177" i="4"/>
  <c r="S180" i="4"/>
  <c r="P180" i="4"/>
  <c r="N186" i="4"/>
  <c r="V186" i="4"/>
  <c r="N179" i="4"/>
  <c r="J178" i="4"/>
  <c r="I178" i="4"/>
  <c r="P183" i="4"/>
  <c r="T183" i="4"/>
  <c r="D181" i="4"/>
  <c r="Q181" i="4"/>
  <c r="X176" i="4"/>
  <c r="V185" i="4"/>
  <c r="J184" i="4"/>
  <c r="O56" i="2"/>
  <c r="U182" i="4"/>
  <c r="AT72" i="2"/>
  <c r="Q184" i="4"/>
  <c r="O76" i="2"/>
  <c r="F76" i="2" s="1"/>
  <c r="G76" i="2" s="1"/>
  <c r="Y187" i="4"/>
  <c r="H177" i="4"/>
  <c r="C177" i="4"/>
  <c r="H180" i="4"/>
  <c r="E186" i="4"/>
  <c r="D186" i="4"/>
  <c r="R179" i="4"/>
  <c r="K179" i="4"/>
  <c r="H178" i="4"/>
  <c r="Y183" i="4"/>
  <c r="J181" i="4"/>
  <c r="F181" i="4"/>
  <c r="O70" i="2"/>
  <c r="F70" i="2" s="1"/>
  <c r="G70" i="2" s="1"/>
  <c r="J176" i="4"/>
  <c r="P176" i="4"/>
  <c r="O185" i="4"/>
  <c r="E185" i="4"/>
  <c r="D182" i="4"/>
  <c r="E182" i="4"/>
  <c r="V184" i="4"/>
  <c r="M187" i="4"/>
  <c r="X177" i="4"/>
  <c r="G177" i="4"/>
  <c r="W180" i="4"/>
  <c r="H186" i="4"/>
  <c r="L186" i="4"/>
  <c r="F179" i="4"/>
  <c r="U179" i="4"/>
  <c r="M178" i="4"/>
  <c r="L183" i="4"/>
  <c r="R181" i="4"/>
  <c r="I181" i="4"/>
  <c r="R176" i="4"/>
  <c r="F176" i="4"/>
  <c r="T185" i="4"/>
  <c r="G187" i="4"/>
  <c r="W177" i="4"/>
  <c r="R186" i="4"/>
  <c r="P181" i="4"/>
  <c r="O182" i="4"/>
  <c r="F182" i="4"/>
  <c r="O63" i="2"/>
  <c r="X180" i="4"/>
  <c r="G186" i="4"/>
  <c r="E179" i="4"/>
  <c r="R178" i="4"/>
  <c r="E183" i="4"/>
  <c r="Z166" i="4"/>
  <c r="B196" i="4" s="1"/>
  <c r="B181" i="4"/>
  <c r="AT62" i="2"/>
  <c r="Q182" i="4"/>
  <c r="I182" i="4"/>
  <c r="Z169" i="4"/>
  <c r="B199" i="4" s="1"/>
  <c r="B184" i="4"/>
  <c r="R184" i="4"/>
  <c r="K187" i="4"/>
  <c r="X187" i="4"/>
  <c r="V177" i="4"/>
  <c r="J180" i="4"/>
  <c r="I180" i="4"/>
  <c r="T186" i="4"/>
  <c r="AT77" i="2"/>
  <c r="Z164" i="4"/>
  <c r="B194" i="4" s="1"/>
  <c r="B179" i="4"/>
  <c r="T178" i="4"/>
  <c r="K178" i="4"/>
  <c r="I183" i="4"/>
  <c r="M183" i="4"/>
  <c r="AT64" i="2"/>
  <c r="C181" i="4"/>
  <c r="Y176" i="4"/>
  <c r="L185" i="4"/>
  <c r="I185" i="4"/>
  <c r="W184" i="4"/>
  <c r="F184" i="4"/>
  <c r="S177" i="4"/>
  <c r="Y180" i="4"/>
  <c r="I186" i="4"/>
  <c r="S179" i="4"/>
  <c r="H179" i="4"/>
  <c r="N178" i="4"/>
  <c r="C183" i="4"/>
  <c r="S176" i="4"/>
  <c r="X185" i="4"/>
  <c r="L182" i="4"/>
  <c r="V182" i="4"/>
  <c r="T184" i="4"/>
  <c r="M184" i="4"/>
  <c r="O187" i="4"/>
  <c r="M177" i="4"/>
  <c r="G180" i="4"/>
  <c r="M186" i="4"/>
  <c r="D183" i="4"/>
  <c r="U176" i="4"/>
  <c r="P185" i="4"/>
  <c r="F185" i="4"/>
  <c r="X182" i="4"/>
  <c r="S182" i="4"/>
  <c r="U184" i="4"/>
  <c r="P184" i="4"/>
  <c r="Q187" i="4"/>
  <c r="P187" i="4"/>
  <c r="I177" i="4"/>
  <c r="K180" i="4"/>
  <c r="C180" i="4"/>
  <c r="AT79" i="2"/>
  <c r="O186" i="4"/>
  <c r="X179" i="4"/>
  <c r="U178" i="4"/>
  <c r="F178" i="4"/>
  <c r="N183" i="4"/>
  <c r="Z168" i="4"/>
  <c r="B198" i="4" s="1"/>
  <c r="B183" i="4"/>
  <c r="F77" i="2"/>
  <c r="G77" i="2" s="1"/>
  <c r="N181" i="4"/>
  <c r="N176" i="4"/>
  <c r="Z170" i="4"/>
  <c r="B200" i="4" s="1"/>
  <c r="B185" i="4"/>
  <c r="U185" i="4"/>
  <c r="M181" i="4"/>
  <c r="C176" i="4"/>
  <c r="L179" i="4"/>
  <c r="T181" i="4"/>
  <c r="R182" i="4"/>
  <c r="K182" i="4"/>
  <c r="C184" i="4"/>
  <c r="K184" i="4"/>
  <c r="S187" i="4"/>
  <c r="J187" i="4"/>
  <c r="J177" i="4"/>
  <c r="F180" i="4"/>
  <c r="N180" i="4"/>
  <c r="P186" i="4"/>
  <c r="P179" i="4"/>
  <c r="W178" i="4"/>
  <c r="D178" i="4"/>
  <c r="W183" i="4"/>
  <c r="Q183" i="4"/>
  <c r="X181" i="4"/>
  <c r="G176" i="4"/>
  <c r="Q185" i="4"/>
  <c r="M185" i="4"/>
  <c r="J78" i="2" l="1"/>
  <c r="M78" i="2" s="1"/>
  <c r="R71" i="2"/>
  <c r="R56" i="2"/>
  <c r="R55" i="2"/>
  <c r="J72" i="2"/>
  <c r="M72" i="2" s="1"/>
  <c r="R76" i="2"/>
  <c r="J76" i="2"/>
  <c r="M76" i="2" s="1"/>
  <c r="R70" i="2"/>
  <c r="J70" i="2"/>
  <c r="M70" i="2" s="1"/>
  <c r="Z176" i="4"/>
  <c r="E63" i="2"/>
  <c r="G63" i="2" s="1"/>
  <c r="G69" i="2"/>
  <c r="E64" i="2"/>
  <c r="G64" i="2" s="1"/>
  <c r="E62" i="2"/>
  <c r="G62" i="2" s="1"/>
  <c r="E65" i="2"/>
  <c r="G65" i="2" s="1"/>
  <c r="Z183" i="4"/>
  <c r="Z180" i="4"/>
  <c r="Z184" i="4"/>
  <c r="Z186" i="4"/>
  <c r="Z182" i="4"/>
  <c r="Z179" i="4"/>
  <c r="R77" i="2"/>
  <c r="J77" i="2"/>
  <c r="M77" i="2" s="1"/>
  <c r="Z187" i="4"/>
  <c r="Z178" i="4"/>
  <c r="Z185" i="4"/>
  <c r="Z177" i="4"/>
  <c r="J79" i="2"/>
  <c r="M79" i="2" s="1"/>
  <c r="R79" i="2"/>
  <c r="Z181" i="4"/>
  <c r="D216" i="4" l="1"/>
  <c r="W216" i="4"/>
  <c r="N216" i="4"/>
  <c r="S216" i="4"/>
  <c r="X216" i="4"/>
  <c r="E216" i="4"/>
  <c r="V216" i="4"/>
  <c r="U216" i="4"/>
  <c r="B216" i="4"/>
  <c r="G216" i="4"/>
  <c r="P216" i="4"/>
  <c r="T216" i="4"/>
  <c r="I216" i="4"/>
  <c r="M216" i="4"/>
  <c r="R216" i="4"/>
  <c r="C216" i="4"/>
  <c r="Q216" i="4"/>
  <c r="K216" i="4"/>
  <c r="F216" i="4"/>
  <c r="J216" i="4"/>
  <c r="H216" i="4"/>
  <c r="L216" i="4"/>
  <c r="O216" i="4"/>
  <c r="Y216" i="4"/>
  <c r="O210" i="4"/>
  <c r="Q210" i="4"/>
  <c r="U210" i="4"/>
  <c r="R210" i="4"/>
  <c r="M210" i="4"/>
  <c r="X210" i="4"/>
  <c r="N210" i="4"/>
  <c r="T210" i="4"/>
  <c r="J210" i="4"/>
  <c r="P210" i="4"/>
  <c r="I210" i="4"/>
  <c r="K210" i="4"/>
  <c r="E210" i="4"/>
  <c r="H210" i="4"/>
  <c r="D210" i="4"/>
  <c r="F210" i="4"/>
  <c r="B210" i="4"/>
  <c r="W210" i="4"/>
  <c r="Y210" i="4"/>
  <c r="G210" i="4"/>
  <c r="C210" i="4"/>
  <c r="L210" i="4"/>
  <c r="S210" i="4"/>
  <c r="V210" i="4"/>
  <c r="V211" i="4"/>
  <c r="B211" i="4"/>
  <c r="D211" i="4"/>
  <c r="K211" i="4"/>
  <c r="U211" i="4"/>
  <c r="Y211" i="4"/>
  <c r="Q211" i="4"/>
  <c r="X211" i="4"/>
  <c r="F211" i="4"/>
  <c r="W211" i="4"/>
  <c r="E211" i="4"/>
  <c r="L211" i="4"/>
  <c r="M211" i="4"/>
  <c r="R211" i="4"/>
  <c r="J211" i="4"/>
  <c r="N211" i="4"/>
  <c r="T211" i="4"/>
  <c r="G211" i="4"/>
  <c r="O211" i="4"/>
  <c r="S211" i="4"/>
  <c r="H211" i="4"/>
  <c r="C211" i="4"/>
  <c r="I211" i="4"/>
  <c r="P211" i="4"/>
  <c r="V214" i="4"/>
  <c r="T214" i="4"/>
  <c r="G214" i="4"/>
  <c r="Q214" i="4"/>
  <c r="E214" i="4"/>
  <c r="N214" i="4"/>
  <c r="W214" i="4"/>
  <c r="M214" i="4"/>
  <c r="S214" i="4"/>
  <c r="I214" i="4"/>
  <c r="L214" i="4"/>
  <c r="F214" i="4"/>
  <c r="C214" i="4"/>
  <c r="B214" i="4"/>
  <c r="U214" i="4"/>
  <c r="X214" i="4"/>
  <c r="Y214" i="4"/>
  <c r="K214" i="4"/>
  <c r="J214" i="4"/>
  <c r="H214" i="4"/>
  <c r="D214" i="4"/>
  <c r="R214" i="4"/>
  <c r="O214" i="4"/>
  <c r="P214" i="4"/>
  <c r="H213" i="4"/>
  <c r="W213" i="4"/>
  <c r="G213" i="4"/>
  <c r="I213" i="4"/>
  <c r="D213" i="4"/>
  <c r="Q213" i="4"/>
  <c r="K213" i="4"/>
  <c r="F213" i="4"/>
  <c r="C213" i="4"/>
  <c r="L213" i="4"/>
  <c r="M213" i="4"/>
  <c r="N213" i="4"/>
  <c r="B213" i="4"/>
  <c r="Z213" i="4" s="1"/>
  <c r="P213" i="4"/>
  <c r="E213" i="4"/>
  <c r="R213" i="4"/>
  <c r="S213" i="4"/>
  <c r="O213" i="4"/>
  <c r="T213" i="4"/>
  <c r="X213" i="4"/>
  <c r="V213" i="4"/>
  <c r="Y213" i="4"/>
  <c r="J213" i="4"/>
  <c r="U213" i="4"/>
  <c r="J62" i="2"/>
  <c r="M62" i="2" s="1"/>
  <c r="R62" i="2"/>
  <c r="Y56" i="2"/>
  <c r="Y58" i="2"/>
  <c r="Y55" i="2"/>
  <c r="Y57" i="2"/>
  <c r="E207" i="4"/>
  <c r="B207" i="4"/>
  <c r="V207" i="4"/>
  <c r="L207" i="4"/>
  <c r="X207" i="4"/>
  <c r="J207" i="4"/>
  <c r="I207" i="4"/>
  <c r="G207" i="4"/>
  <c r="W207" i="4"/>
  <c r="S207" i="4"/>
  <c r="M207" i="4"/>
  <c r="Q207" i="4"/>
  <c r="F207" i="4"/>
  <c r="D207" i="4"/>
  <c r="Y207" i="4"/>
  <c r="P207" i="4"/>
  <c r="T207" i="4"/>
  <c r="H207" i="4"/>
  <c r="K207" i="4"/>
  <c r="O207" i="4"/>
  <c r="C207" i="4"/>
  <c r="N207" i="4"/>
  <c r="R207" i="4"/>
  <c r="U207" i="4"/>
  <c r="H215" i="4"/>
  <c r="I215" i="4"/>
  <c r="G215" i="4"/>
  <c r="T215" i="4"/>
  <c r="Y215" i="4"/>
  <c r="P215" i="4"/>
  <c r="L215" i="4"/>
  <c r="J215" i="4"/>
  <c r="B215" i="4"/>
  <c r="F215" i="4"/>
  <c r="U215" i="4"/>
  <c r="O215" i="4"/>
  <c r="Q215" i="4"/>
  <c r="S215" i="4"/>
  <c r="D215" i="4"/>
  <c r="R215" i="4"/>
  <c r="V215" i="4"/>
  <c r="N215" i="4"/>
  <c r="E215" i="4"/>
  <c r="W215" i="4"/>
  <c r="K215" i="4"/>
  <c r="X215" i="4"/>
  <c r="M215" i="4"/>
  <c r="C215" i="4"/>
  <c r="H217" i="4"/>
  <c r="X217" i="4"/>
  <c r="Q217" i="4"/>
  <c r="E217" i="4"/>
  <c r="M217" i="4"/>
  <c r="B217" i="4"/>
  <c r="W217" i="4"/>
  <c r="P217" i="4"/>
  <c r="Y217" i="4"/>
  <c r="G217" i="4"/>
  <c r="V217" i="4"/>
  <c r="O217" i="4"/>
  <c r="F217" i="4"/>
  <c r="L217" i="4"/>
  <c r="N217" i="4"/>
  <c r="D217" i="4"/>
  <c r="J217" i="4"/>
  <c r="T217" i="4"/>
  <c r="R217" i="4"/>
  <c r="U217" i="4"/>
  <c r="I217" i="4"/>
  <c r="S217" i="4"/>
  <c r="C217" i="4"/>
  <c r="K217" i="4"/>
  <c r="J64" i="2"/>
  <c r="M64" i="2" s="1"/>
  <c r="R64" i="2"/>
  <c r="C208" i="4"/>
  <c r="T208" i="4"/>
  <c r="Q208" i="4"/>
  <c r="B208" i="4"/>
  <c r="Y208" i="4"/>
  <c r="K208" i="4"/>
  <c r="U208" i="4"/>
  <c r="O208" i="4"/>
  <c r="N208" i="4"/>
  <c r="L208" i="4"/>
  <c r="M208" i="4"/>
  <c r="F208" i="4"/>
  <c r="P208" i="4"/>
  <c r="J208" i="4"/>
  <c r="H208" i="4"/>
  <c r="G208" i="4"/>
  <c r="E208" i="4"/>
  <c r="X208" i="4"/>
  <c r="V208" i="4"/>
  <c r="S208" i="4"/>
  <c r="I208" i="4"/>
  <c r="R208" i="4"/>
  <c r="W208" i="4"/>
  <c r="D208" i="4"/>
  <c r="W206" i="4"/>
  <c r="F206" i="4"/>
  <c r="N206" i="4"/>
  <c r="T206" i="4"/>
  <c r="U206" i="4"/>
  <c r="K206" i="4"/>
  <c r="M206" i="4"/>
  <c r="J206" i="4"/>
  <c r="V206" i="4"/>
  <c r="P206" i="4"/>
  <c r="L206" i="4"/>
  <c r="X206" i="4"/>
  <c r="G206" i="4"/>
  <c r="S206" i="4"/>
  <c r="E206" i="4"/>
  <c r="R206" i="4"/>
  <c r="H206" i="4"/>
  <c r="D206" i="4"/>
  <c r="Q206" i="4"/>
  <c r="C206" i="4"/>
  <c r="B206" i="4"/>
  <c r="O206" i="4"/>
  <c r="Y206" i="4"/>
  <c r="I206" i="4"/>
  <c r="R65" i="2"/>
  <c r="J65" i="2"/>
  <c r="M65" i="2" s="1"/>
  <c r="J69" i="2"/>
  <c r="M69" i="2" s="1"/>
  <c r="R69" i="2"/>
  <c r="Y209" i="4"/>
  <c r="F209" i="4"/>
  <c r="X209" i="4"/>
  <c r="H209" i="4"/>
  <c r="U209" i="4"/>
  <c r="Q209" i="4"/>
  <c r="R209" i="4"/>
  <c r="T209" i="4"/>
  <c r="J209" i="4"/>
  <c r="N209" i="4"/>
  <c r="K209" i="4"/>
  <c r="E209" i="4"/>
  <c r="P209" i="4"/>
  <c r="I209" i="4"/>
  <c r="C209" i="4"/>
  <c r="B209" i="4"/>
  <c r="V209" i="4"/>
  <c r="W209" i="4"/>
  <c r="S209" i="4"/>
  <c r="D209" i="4"/>
  <c r="M209" i="4"/>
  <c r="L209" i="4"/>
  <c r="O209" i="4"/>
  <c r="G209" i="4"/>
  <c r="J63" i="2"/>
  <c r="M63" i="2" s="1"/>
  <c r="R63" i="2"/>
  <c r="C212" i="4"/>
  <c r="H212" i="4"/>
  <c r="F212" i="4"/>
  <c r="R212" i="4"/>
  <c r="G212" i="4"/>
  <c r="V212" i="4"/>
  <c r="J212" i="4"/>
  <c r="Q212" i="4"/>
  <c r="K212" i="4"/>
  <c r="N212" i="4"/>
  <c r="L212" i="4"/>
  <c r="B212" i="4"/>
  <c r="I212" i="4"/>
  <c r="X212" i="4"/>
  <c r="W212" i="4"/>
  <c r="E212" i="4"/>
  <c r="T212" i="4"/>
  <c r="P212" i="4"/>
  <c r="M212" i="4"/>
  <c r="S212" i="4"/>
  <c r="D212" i="4"/>
  <c r="Y212" i="4"/>
  <c r="U212" i="4"/>
  <c r="O212" i="4"/>
  <c r="Z210" i="4" l="1"/>
  <c r="Z211" i="4"/>
  <c r="Z216" i="4"/>
  <c r="Z208" i="4"/>
  <c r="Z206" i="4"/>
  <c r="Z217" i="4"/>
  <c r="Z212" i="4"/>
  <c r="Z215" i="4"/>
  <c r="Z209" i="4"/>
  <c r="Z207" i="4"/>
  <c r="Z21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tc={4596B515-DF02-4E3D-A5B5-EDB590757B58}</author>
  </authors>
  <commentList>
    <comment ref="A57" authorId="0" shapeId="0" xr:uid="{4596B515-DF02-4E3D-A5B5-EDB590757B58}">
      <text>
        <t>[Threaded comment]
Your version of Excel allows you to read this threaded comment; however, any edits to it will get removed if the file is opened in a newer version of Excel. Learn more: https://go.microsoft.com/fwlink/?linkid=870924
Comment:
    This is existing/old stressed P&amp;I Pmt without Top Up loan logic</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<sst xmlns="http://schemas.openxmlformats.org/spreadsheetml/2006/main" count="7314" uniqueCount="610">
  <si>
    <t>Interest</t>
  </si>
  <si>
    <t>Serviceability</t>
  </si>
  <si>
    <t>Non-SMSF</t>
  </si>
  <si>
    <t>Data capture only, not for decisioning</t>
  </si>
  <si>
    <t>SMSF</t>
  </si>
  <si>
    <t>ICR</t>
  </si>
  <si>
    <t>Stressed ICR</t>
  </si>
  <si>
    <t>DSCR</t>
  </si>
  <si>
    <t>Stressed DSCR</t>
  </si>
  <si>
    <t>DTI</t>
  </si>
  <si>
    <t>NSR</t>
  </si>
  <si>
    <t>Stressed DSCR Prime</t>
  </si>
  <si>
    <t>NSR Prime</t>
  </si>
  <si>
    <t>Total</t>
  </si>
  <si>
    <t/>
  </si>
  <si>
    <t>Applicant ID</t>
  </si>
  <si>
    <t>Applicant Name</t>
  </si>
  <si>
    <t>Entity Type</t>
  </si>
  <si>
    <t>Comments</t>
  </si>
  <si>
    <t>Cash Flow Details</t>
  </si>
  <si>
    <t>Gross Pre Tax Available Income</t>
  </si>
  <si>
    <t>Distrbutions received</t>
  </si>
  <si>
    <t>Distributions made</t>
  </si>
  <si>
    <t>Pre Tax Available Income</t>
  </si>
  <si>
    <t>Rent</t>
  </si>
  <si>
    <t>Non-taxable income</t>
  </si>
  <si>
    <t>Total pre Tax Income</t>
  </si>
  <si>
    <t>ICR Surplus</t>
  </si>
  <si>
    <t>Principal</t>
  </si>
  <si>
    <t>Stress</t>
  </si>
  <si>
    <t>Living Expenses</t>
  </si>
  <si>
    <t>Tax</t>
  </si>
  <si>
    <t>Surplus</t>
  </si>
  <si>
    <t>Stress for Prime</t>
  </si>
  <si>
    <t>GST Loan Interest adjustment</t>
  </si>
  <si>
    <t>Stressed Interest</t>
  </si>
  <si>
    <t>Commitments</t>
  </si>
  <si>
    <t>Distributions Received</t>
  </si>
  <si>
    <t>Deductible interest</t>
  </si>
  <si>
    <t>Non-deductible Interest</t>
  </si>
  <si>
    <t>Living Expenses incl Rent</t>
  </si>
  <si>
    <t>Taxable Income</t>
  </si>
  <si>
    <t>GST loan interest adjustment</t>
  </si>
  <si>
    <t>Partnership</t>
  </si>
  <si>
    <t>Prime Stress</t>
  </si>
  <si>
    <t>Individuals</t>
  </si>
  <si>
    <t>Income for Expenses</t>
  </si>
  <si>
    <t>Family</t>
  </si>
  <si>
    <t>Expense Proportion</t>
  </si>
  <si>
    <t>No. of members</t>
  </si>
  <si>
    <t>No. of positive members</t>
  </si>
  <si>
    <t>No. of neg members</t>
  </si>
  <si>
    <t>All positive?</t>
  </si>
  <si>
    <t>All negative?</t>
  </si>
  <si>
    <t>At least 1 positive?</t>
  </si>
  <si>
    <t>Family 1</t>
  </si>
  <si>
    <t>Family 2</t>
  </si>
  <si>
    <t>Family 3</t>
  </si>
  <si>
    <t>Family 4</t>
  </si>
  <si>
    <t>Companies</t>
  </si>
  <si>
    <t>Partnerships</t>
  </si>
  <si>
    <t>Trusts</t>
  </si>
  <si>
    <t>Tax not correct for short form but not used</t>
  </si>
  <si>
    <t>Surplus not correct for short form but not used</t>
  </si>
  <si>
    <t>Taxable Income not correct for short form but not used</t>
  </si>
  <si>
    <t>Input details into cells this colour. Complete all purple cells before moving to the next sheet</t>
  </si>
  <si>
    <t>Date</t>
  </si>
  <si>
    <t>Loan Number</t>
  </si>
  <si>
    <t>Credit Manager</t>
  </si>
  <si>
    <t>Doc Type</t>
  </si>
  <si>
    <t>Latest Financials Year</t>
  </si>
  <si>
    <t>Short form Commercial</t>
  </si>
  <si>
    <t>Applicants</t>
  </si>
  <si>
    <t>Product</t>
  </si>
  <si>
    <t>Applicant Type</t>
  </si>
  <si>
    <t>NCCP</t>
  </si>
  <si>
    <t>Turnover pa</t>
  </si>
  <si>
    <t>LVR</t>
  </si>
  <si>
    <t>&gt;50%</t>
  </si>
  <si>
    <t>Families</t>
  </si>
  <si>
    <t>Postcode</t>
  </si>
  <si>
    <t>Adults</t>
  </si>
  <si>
    <t>Children</t>
  </si>
  <si>
    <t>Expenses pa</t>
  </si>
  <si>
    <t>Rent pa</t>
  </si>
  <si>
    <t>Max of 4 of any entity type</t>
  </si>
  <si>
    <t>Expenses excluding rent</t>
  </si>
  <si>
    <t>Relationships - enter Family and % relationship for each individual</t>
  </si>
  <si>
    <t>Individual</t>
  </si>
  <si>
    <t>Don't need add to 100% if a % is held by a party not part of the loan</t>
  </si>
  <si>
    <t>Relationships - enter % relationship for each Company</t>
  </si>
  <si>
    <t>Company</t>
  </si>
  <si>
    <t>Borrower</t>
  </si>
  <si>
    <t>Trust</t>
  </si>
  <si>
    <t>Transposition Calculation</t>
  </si>
  <si>
    <t>Full Doc</t>
  </si>
  <si>
    <t>Yes</t>
  </si>
  <si>
    <t>Commercial</t>
  </si>
  <si>
    <t>&gt; $500,000</t>
  </si>
  <si>
    <t>Guarantor</t>
  </si>
  <si>
    <t>Max Mid Doc</t>
  </si>
  <si>
    <t>No</t>
  </si>
  <si>
    <t>Residential</t>
  </si>
  <si>
    <t>&lt;= $500,000</t>
  </si>
  <si>
    <t>&lt;=50%</t>
  </si>
  <si>
    <t>Related Entity</t>
  </si>
  <si>
    <t>Standard Mid Doc</t>
  </si>
  <si>
    <t>Private/Resi Stock</t>
  </si>
  <si>
    <t>Quick Doc</t>
  </si>
  <si>
    <t>Lease Doc</t>
  </si>
  <si>
    <t>Loan Details</t>
  </si>
  <si>
    <t>"Loan Property Link" field – ONLY complete this field to link each residential investment property to any residential investment loan/s</t>
  </si>
  <si>
    <t>Thinktank Loans</t>
  </si>
  <si>
    <t>Existing Loans</t>
  </si>
  <si>
    <t>P&amp;I</t>
  </si>
  <si>
    <t>Commercial Loan Investment</t>
  </si>
  <si>
    <t>Investment</t>
  </si>
  <si>
    <t>Commercial Loan</t>
  </si>
  <si>
    <t>Link A</t>
  </si>
  <si>
    <t>TT Loan ID</t>
  </si>
  <si>
    <t>Description</t>
  </si>
  <si>
    <t>Amount</t>
  </si>
  <si>
    <t xml:space="preserve"> % Rate pa</t>
  </si>
  <si>
    <t>Payment Type</t>
  </si>
  <si>
    <t>IO Term (yrs)</t>
  </si>
  <si>
    <t>Term (yrs)</t>
  </si>
  <si>
    <t>Occupancy</t>
  </si>
  <si>
    <t>Neg Gearing</t>
  </si>
  <si>
    <t>Loan Property Link</t>
  </si>
  <si>
    <t>Existing ID</t>
  </si>
  <si>
    <t>% Rate pa</t>
  </si>
  <si>
    <t>Monthly Pmt</t>
  </si>
  <si>
    <t>IO</t>
  </si>
  <si>
    <t>Commercial Loan Owner Occupied</t>
  </si>
  <si>
    <t>Owner Occupied</t>
  </si>
  <si>
    <t>Resi Investment</t>
  </si>
  <si>
    <t>Link B</t>
  </si>
  <si>
    <t>GST Loan</t>
  </si>
  <si>
    <t>Lease/HP (deductible)</t>
  </si>
  <si>
    <t>Link C</t>
  </si>
  <si>
    <t>Resi Easy Refi</t>
  </si>
  <si>
    <t>Resi Owner Occupied</t>
  </si>
  <si>
    <t>Credit Card (deductible)</t>
  </si>
  <si>
    <t>Link D</t>
  </si>
  <si>
    <t>Lease/HP</t>
  </si>
  <si>
    <t>Link E</t>
  </si>
  <si>
    <t>Top Up Loan</t>
  </si>
  <si>
    <t>Link F</t>
  </si>
  <si>
    <t>Credit Card</t>
  </si>
  <si>
    <t>Link G</t>
  </si>
  <si>
    <t>Allocation of New Loans Interest Expense</t>
  </si>
  <si>
    <t>Link H</t>
  </si>
  <si>
    <t>TT Loan 1</t>
  </si>
  <si>
    <t>TT Loan 2</t>
  </si>
  <si>
    <t>TT Loan 3</t>
  </si>
  <si>
    <t>TT Loan 4</t>
  </si>
  <si>
    <t>Personal Loan (variable)</t>
  </si>
  <si>
    <t>Link I</t>
  </si>
  <si>
    <t>Personal Loan (fixed)</t>
  </si>
  <si>
    <t>Link J</t>
  </si>
  <si>
    <t>Rate and monthly payment not required for credit cards</t>
  </si>
  <si>
    <t>Allocation of Existing Loans Interest Expense</t>
  </si>
  <si>
    <t>Loan ID</t>
  </si>
  <si>
    <t>Hidden</t>
  </si>
  <si>
    <t>New Loan ID</t>
  </si>
  <si>
    <t>Payment</t>
  </si>
  <si>
    <t>Stressed P&amp;I Pmt</t>
  </si>
  <si>
    <t>Individual Deductible</t>
  </si>
  <si>
    <t>Individual Non-deductible</t>
  </si>
  <si>
    <t>Stressed P&amp;I Pmt for Prime</t>
  </si>
  <si>
    <t>Standard Stressed P&amp;I Pmt</t>
  </si>
  <si>
    <t>Resi and Com Investment</t>
  </si>
  <si>
    <t>Deductible Interest neg gearing adjusted</t>
  </si>
  <si>
    <t>Existing Commitments</t>
  </si>
  <si>
    <t>Stressed Pmt</t>
  </si>
  <si>
    <t>Stressed Pmt for Prime</t>
  </si>
  <si>
    <t>Note only Personal loan, Resi inv and OO stressed at 3% for Prime purpose, all others keep same as normal stress approach</t>
  </si>
  <si>
    <t>Repayment calculation when there is Top up loan</t>
  </si>
  <si>
    <t>Top Up Loan Flag</t>
  </si>
  <si>
    <t>Commercial IO Loan Flag</t>
  </si>
  <si>
    <t>Top Up Loan Term</t>
  </si>
  <si>
    <t>Commercial IO Term</t>
  </si>
  <si>
    <t>Max Top Up loan term&lt;=Commercial IO Term</t>
  </si>
  <si>
    <t>(this flag check if Top Up loan exist and any commercial IO term is greater than or equal to max Top Up Loan term, this flag is Y then two calculations below will be in use)</t>
  </si>
  <si>
    <t>Use Commercial IO plus Top Up PI</t>
  </si>
  <si>
    <t>Use Commercial PI and Zero Top Up repayment</t>
  </si>
  <si>
    <t>Total Stress Payment</t>
  </si>
  <si>
    <t>Greater of the two calculations</t>
  </si>
  <si>
    <t>Property</t>
  </si>
  <si>
    <t>Total Residential Rent</t>
  </si>
  <si>
    <t>Total Rent</t>
  </si>
  <si>
    <t>Applicant - Allocated Rent</t>
  </si>
  <si>
    <t>Loan</t>
  </si>
  <si>
    <t>Existing ID 1</t>
  </si>
  <si>
    <t>Existing ID 2</t>
  </si>
  <si>
    <t>Existing ID 3</t>
  </si>
  <si>
    <t>Existing ID 4</t>
  </si>
  <si>
    <t>Existing ID 5</t>
  </si>
  <si>
    <t>Existing ID 6</t>
  </si>
  <si>
    <t>Existing ID 7</t>
  </si>
  <si>
    <t>Existing ID 8</t>
  </si>
  <si>
    <t>Existing ID 9</t>
  </si>
  <si>
    <t>Existing ID 10</t>
  </si>
  <si>
    <t>Existing ID 11</t>
  </si>
  <si>
    <t>Existing ID 12</t>
  </si>
  <si>
    <t>Existing ID 13</t>
  </si>
  <si>
    <t>Existing ID 14</t>
  </si>
  <si>
    <t>Existing ID 15</t>
  </si>
  <si>
    <t>Existing ID 16</t>
  </si>
  <si>
    <t>Existing ID 17</t>
  </si>
  <si>
    <t>Existing ID 18</t>
  </si>
  <si>
    <t>Existing ID 19</t>
  </si>
  <si>
    <t>Existing ID 20</t>
  </si>
  <si>
    <t>Total Interest</t>
  </si>
  <si>
    <t>Negative Gearing</t>
  </si>
  <si>
    <t>Applicant - Resi Inv Allocated Interest</t>
  </si>
  <si>
    <t>Initial Resi Deductible Interest</t>
  </si>
  <si>
    <t>If total rent&gt;total interest then use allocated interest, otherwise, if yes negative gearing then use allocated interest, if no neg gearing then use minimum of allocated interest or property rent times interest as percentage of total interest</t>
  </si>
  <si>
    <t>Shortfall of interest</t>
  </si>
  <si>
    <t>Unallocated rent</t>
  </si>
  <si>
    <t>Allocating unallocated rent</t>
  </si>
  <si>
    <t>Property Security</t>
  </si>
  <si>
    <t>Property ID</t>
  </si>
  <si>
    <t>Total rent</t>
  </si>
  <si>
    <t>Property Details</t>
  </si>
  <si>
    <t>Income (excluding Sole Trader income)</t>
  </si>
  <si>
    <t>Tenant</t>
  </si>
  <si>
    <t>Address</t>
  </si>
  <si>
    <t>Haircut Rent</t>
  </si>
  <si>
    <t>Outgoing Paid By</t>
  </si>
  <si>
    <t>Taxable</t>
  </si>
  <si>
    <t>Non-Taxable</t>
  </si>
  <si>
    <t>Superannuation</t>
  </si>
  <si>
    <t>Property owner</t>
  </si>
  <si>
    <t>Allocation of Rent</t>
  </si>
  <si>
    <r>
      <t>INPUT INSTRUCTIONS</t>
    </r>
    <r>
      <rPr>
        <sz val="10"/>
        <color indexed="20"/>
        <rFont val="Arial"/>
        <family val="2"/>
      </rPr>
      <t xml:space="preserve"> - Input only into cells this colour</t>
    </r>
  </si>
  <si>
    <t>Borrower:</t>
  </si>
  <si>
    <t>APPLICANT ID &amp; NAME</t>
  </si>
  <si>
    <t>P&amp;L 1.</t>
  </si>
  <si>
    <t>Year End</t>
  </si>
  <si>
    <t>% Chg</t>
  </si>
  <si>
    <t>P&amp;L 2.</t>
  </si>
  <si>
    <t>P&amp;L 3.</t>
  </si>
  <si>
    <t>P&amp;L 4.</t>
  </si>
  <si>
    <t>Gross Sales/ Fees</t>
  </si>
  <si>
    <t>Less:</t>
  </si>
  <si>
    <t>Cost of Goods Sold</t>
  </si>
  <si>
    <t>Direct Expenses</t>
  </si>
  <si>
    <t>Sundry</t>
  </si>
  <si>
    <t>GROSS PROFIT</t>
  </si>
  <si>
    <t>Less Operating Expenses</t>
  </si>
  <si>
    <t>OPERATING PROFIT</t>
  </si>
  <si>
    <t>OTHER INCOME (EXPENSE)</t>
  </si>
  <si>
    <t>Management Fees</t>
  </si>
  <si>
    <t>Profit on Sale of Assets</t>
  </si>
  <si>
    <t>Property Development</t>
  </si>
  <si>
    <t>NET PROFIT BEFORE TAX</t>
  </si>
  <si>
    <t>Allowable addbacks:</t>
  </si>
  <si>
    <t>Interest Expense</t>
  </si>
  <si>
    <t>Depreciation/ Amortisation</t>
  </si>
  <si>
    <t>Directors Fee</t>
  </si>
  <si>
    <t>Directors Salary</t>
  </si>
  <si>
    <t>Directors Superannuation</t>
  </si>
  <si>
    <t>Other</t>
  </si>
  <si>
    <t>TOTAL AVAILABLE INCOME</t>
  </si>
  <si>
    <r>
      <t>INPUT INSTRUCTIONS</t>
    </r>
    <r>
      <rPr>
        <sz val="8"/>
        <color indexed="20"/>
        <rFont val="Arial"/>
        <family val="2"/>
      </rPr>
      <t xml:space="preserve"> - Input only into cells this colour</t>
    </r>
  </si>
  <si>
    <t>NET WORTH ASSESSMENT SHEET</t>
  </si>
  <si>
    <t>CASHFLOW SHEET</t>
  </si>
  <si>
    <t>RATIO ANALYSIS SHEET</t>
  </si>
  <si>
    <t xml:space="preserve">Year Ending </t>
  </si>
  <si>
    <t>Year Ending</t>
  </si>
  <si>
    <t>%Chg</t>
  </si>
  <si>
    <t>Current Assets</t>
  </si>
  <si>
    <t>Cash</t>
  </si>
  <si>
    <t>Sales Revenue</t>
  </si>
  <si>
    <t>1)  Gross Profit Margin (%)</t>
  </si>
  <si>
    <t>Trade Debtors</t>
  </si>
  <si>
    <t>Change in Trade Debtors</t>
  </si>
  <si>
    <t>Stock/WIP</t>
  </si>
  <si>
    <t>2)  Net Profit Margin (%)</t>
  </si>
  <si>
    <t>Change in Stock/Inventory</t>
  </si>
  <si>
    <t>3)  Interest Expense/Total Expenses (%)</t>
  </si>
  <si>
    <t>Change in Creditors</t>
  </si>
  <si>
    <t>Current Liabilities</t>
  </si>
  <si>
    <t xml:space="preserve">     Cash from Trading Activities</t>
  </si>
  <si>
    <t>4) Depreciation Charges / Fixed Assets (%)</t>
  </si>
  <si>
    <t>Trade Creditors</t>
  </si>
  <si>
    <t>Overdraft</t>
  </si>
  <si>
    <t>Expenses (excl Int/Depn)</t>
  </si>
  <si>
    <t>5)  Interest Coverage (NBIT/Interest) (times)</t>
  </si>
  <si>
    <t>Provisons/Accruals</t>
  </si>
  <si>
    <t>Change in Provisions/accruals</t>
  </si>
  <si>
    <t>Change in Other Assets/Liabilities</t>
  </si>
  <si>
    <t>6)  Days Debtors</t>
  </si>
  <si>
    <t>Directors Loans</t>
  </si>
  <si>
    <t>7)  Days Investory *</t>
  </si>
  <si>
    <t>Other Income (Expense)</t>
  </si>
  <si>
    <t>8)  Days Creditors**</t>
  </si>
  <si>
    <t>Term Assets</t>
  </si>
  <si>
    <t>Extraordinary Items</t>
  </si>
  <si>
    <t>Long Term Investments</t>
  </si>
  <si>
    <t>Income Tax Expense</t>
  </si>
  <si>
    <t>9)  Funding Gap (Days)</t>
  </si>
  <si>
    <t>Fixed Assets Gross</t>
  </si>
  <si>
    <t xml:space="preserve">    Net Cash After Operations</t>
  </si>
  <si>
    <t>Less Depreciation</t>
  </si>
  <si>
    <t>10) Total Liabilities/ Shareholders Funds (times)</t>
  </si>
  <si>
    <t>Fixed Assets (net)</t>
  </si>
  <si>
    <t>Dividends Payable</t>
  </si>
  <si>
    <t>11) Current Ratio (times)</t>
  </si>
  <si>
    <t xml:space="preserve">   Cash After Financing Costs</t>
  </si>
  <si>
    <t>Term Liabilities</t>
  </si>
  <si>
    <t>12) Return on Assets</t>
  </si>
  <si>
    <t>Debt</t>
  </si>
  <si>
    <t>Change in Fixed Assets (Incl Depn)</t>
  </si>
  <si>
    <t xml:space="preserve">Change in Intangibles </t>
  </si>
  <si>
    <t>13) Return on Equity</t>
  </si>
  <si>
    <t>Change in Investments</t>
  </si>
  <si>
    <t>Change in Directors Loans</t>
  </si>
  <si>
    <t>Shareholders Funds</t>
  </si>
  <si>
    <t xml:space="preserve">    Financing Requirements</t>
  </si>
  <si>
    <t>Issued / Paid up</t>
  </si>
  <si>
    <t>* Days Inventory = Inventory/ Cost of Goods Sold x  365</t>
  </si>
  <si>
    <t>Retained Earnings</t>
  </si>
  <si>
    <t>Short Term Debt / Overdraft</t>
  </si>
  <si>
    <t>** Days Creditors = Trade Creditors/ Cost of Goods Sold x 365</t>
  </si>
  <si>
    <t xml:space="preserve"> </t>
  </si>
  <si>
    <t>Reserves/other</t>
  </si>
  <si>
    <t>Long Term Debt</t>
  </si>
  <si>
    <t>Less FITB / Intangibles</t>
  </si>
  <si>
    <t>Paid Up Capital</t>
  </si>
  <si>
    <t>Less Goodwill</t>
  </si>
  <si>
    <t>Reserves / Other</t>
  </si>
  <si>
    <t xml:space="preserve">    Total External Financing</t>
  </si>
  <si>
    <t>Check (MUST EQUAL ZERO)</t>
  </si>
  <si>
    <r>
      <t xml:space="preserve">    </t>
    </r>
    <r>
      <rPr>
        <b/>
        <i/>
        <sz val="8"/>
        <rFont val="Arial"/>
        <family val="2"/>
      </rPr>
      <t>Total Financing Requirements</t>
    </r>
  </si>
  <si>
    <r>
      <t xml:space="preserve">    </t>
    </r>
    <r>
      <rPr>
        <b/>
        <i/>
        <sz val="8"/>
        <rFont val="Arial"/>
        <family val="2"/>
      </rPr>
      <t>Check: Change in Cash Position</t>
    </r>
  </si>
  <si>
    <t>SMSF Name</t>
  </si>
  <si>
    <t>Member 1</t>
  </si>
  <si>
    <t>Member 2</t>
  </si>
  <si>
    <t>Member 3</t>
  </si>
  <si>
    <t>Member 4</t>
  </si>
  <si>
    <t>Member 5</t>
  </si>
  <si>
    <t>Member 6</t>
  </si>
  <si>
    <t>Income</t>
  </si>
  <si>
    <t>Member Contributions pa</t>
  </si>
  <si>
    <t>Proposed Contributions</t>
  </si>
  <si>
    <t>Rental income pa</t>
  </si>
  <si>
    <t>Proposed Rent</t>
  </si>
  <si>
    <t>Contribution</t>
  </si>
  <si>
    <t>Pension</t>
  </si>
  <si>
    <t>Fund Exp</t>
  </si>
  <si>
    <t>Property 1</t>
  </si>
  <si>
    <t>Property 2</t>
  </si>
  <si>
    <t>Property 3</t>
  </si>
  <si>
    <t>Property 4</t>
  </si>
  <si>
    <t>Property 5</t>
  </si>
  <si>
    <t>Property 6</t>
  </si>
  <si>
    <t>Total Contributions pa</t>
  </si>
  <si>
    <t>Property 7</t>
  </si>
  <si>
    <t>Property 8</t>
  </si>
  <si>
    <t>New SMSF</t>
  </si>
  <si>
    <t>Property 9</t>
  </si>
  <si>
    <t>Cash/shares after TT loan settlement</t>
  </si>
  <si>
    <t>Gross Rent pa</t>
  </si>
  <si>
    <t>Existing SMSF (Financials)</t>
  </si>
  <si>
    <t>Proposed Interest</t>
  </si>
  <si>
    <t>Gross Investment income</t>
  </si>
  <si>
    <t>Outgoing</t>
  </si>
  <si>
    <t>Existing Continuing Loans</t>
  </si>
  <si>
    <t>If GST Loan, take stressed interest</t>
  </si>
  <si>
    <t>Pension Payments pa</t>
  </si>
  <si>
    <t>Proposed Pensions</t>
  </si>
  <si>
    <t>Continuing LRBA</t>
  </si>
  <si>
    <t>Comm / Resi</t>
  </si>
  <si>
    <t>Exsting</t>
  </si>
  <si>
    <t>Loan AMT</t>
  </si>
  <si>
    <t>STD Rate</t>
  </si>
  <si>
    <t>Stressed</t>
  </si>
  <si>
    <t>Term</t>
  </si>
  <si>
    <t>STD Pmt pm</t>
  </si>
  <si>
    <t>Stressed Pmt pm</t>
  </si>
  <si>
    <t>STD Pmt pa</t>
  </si>
  <si>
    <t>Stressed Pmt pa (standard no top up adjustment)</t>
  </si>
  <si>
    <t>Interest payment for ICR Standard</t>
  </si>
  <si>
    <t>Stressed Pmt pa with Top Up adjustment</t>
  </si>
  <si>
    <t>Loan 1</t>
  </si>
  <si>
    <t>Loan 2</t>
  </si>
  <si>
    <t>Loan 3</t>
  </si>
  <si>
    <t>Loan 4</t>
  </si>
  <si>
    <t>Loan 5</t>
  </si>
  <si>
    <t>Loan 6</t>
  </si>
  <si>
    <t>Total Payments pa</t>
  </si>
  <si>
    <t>Loan 7</t>
  </si>
  <si>
    <t>Fund Expenses pa</t>
  </si>
  <si>
    <t>Proposed Expenses</t>
  </si>
  <si>
    <t>Thinktank Loan</t>
  </si>
  <si>
    <t>New</t>
  </si>
  <si>
    <t>Total Expenses pa</t>
  </si>
  <si>
    <t>ICR &amp; DSCR Serviceability Calculation</t>
  </si>
  <si>
    <t>Check if Top Up loan exist and if any commercial IO term is greater than or equal to Top Up term</t>
  </si>
  <si>
    <t>Income summary for Serviceability</t>
  </si>
  <si>
    <t>Interest Only ICR Outcome</t>
  </si>
  <si>
    <t>Member constributions</t>
  </si>
  <si>
    <t>ICR (Standard) *</t>
  </si>
  <si>
    <t>Property income</t>
  </si>
  <si>
    <t>ICR (Stressed)</t>
  </si>
  <si>
    <t>Interest &amp; Dividend income</t>
  </si>
  <si>
    <t>Principal &amp; Interest DSCR Outcome</t>
  </si>
  <si>
    <t>Pension payments</t>
  </si>
  <si>
    <t>DSCR (Standard)</t>
  </si>
  <si>
    <t>Fund expenses</t>
  </si>
  <si>
    <t>DSCR (Stressed) **</t>
  </si>
  <si>
    <t>Total income for servicing</t>
  </si>
  <si>
    <t>Loan Interest pa</t>
  </si>
  <si>
    <t>Serviceability Result</t>
  </si>
  <si>
    <t>Max Top Up loan term &lt;= Commercial IO Term</t>
  </si>
  <si>
    <t>Cashflow Surplus</t>
  </si>
  <si>
    <t>If above is TRUE, 2 versions of stressed payment pa is calculated</t>
  </si>
  <si>
    <t xml:space="preserve">The material in this ICR/DSCR Calculator is intended only for general information and is not advice. It is important that readers seek legal, financial and taxation advice from appropriately qualified and </t>
  </si>
  <si>
    <t xml:space="preserve">credentialed professionals in relation to their own circumstances or transactions. Think Tank Group Pty Ltd and any related entity will not be liable for any loss or damage arising out of or in </t>
  </si>
  <si>
    <t>connection with the reliance upon any material in this Serviceability Calculator.</t>
  </si>
  <si>
    <t>Total Stressed Payment</t>
  </si>
  <si>
    <t>Greater of the two</t>
  </si>
  <si>
    <t>Assumptions</t>
  </si>
  <si>
    <t>Company Tax Rate</t>
  </si>
  <si>
    <t>Rent Haircut</t>
  </si>
  <si>
    <t>TT</t>
  </si>
  <si>
    <t>Branding</t>
  </si>
  <si>
    <t>Commercial Interest Rate Stress</t>
  </si>
  <si>
    <t>Consumer Interest Rate Stress</t>
  </si>
  <si>
    <t>Residential IR Stress</t>
  </si>
  <si>
    <t>AFG Align</t>
  </si>
  <si>
    <t>Version yymmdd</t>
  </si>
  <si>
    <t>Commercial Interest Rate Floor</t>
  </si>
  <si>
    <t>Consumer Interest Rate Floor</t>
  </si>
  <si>
    <t>Residential IR Floor</t>
  </si>
  <si>
    <t>AFG</t>
  </si>
  <si>
    <t>HEM Version</t>
  </si>
  <si>
    <t>HEM_3.32_2026Q1_smoothed</t>
  </si>
  <si>
    <t>Credit Card Stress Payment</t>
  </si>
  <si>
    <t>Prime Interest Rate Stress</t>
  </si>
  <si>
    <t>LMG</t>
  </si>
  <si>
    <t xml:space="preserve">Type of output </t>
  </si>
  <si>
    <t xml:space="preserve">Serviceability Calculator  Commercial &amp; SMSF Loan Calculator </t>
  </si>
  <si>
    <t>Credit Card Interest</t>
  </si>
  <si>
    <t>NCCL Stress</t>
  </si>
  <si>
    <t>CON</t>
  </si>
  <si>
    <t>Serviceability Calculator Residential Loan Calculator</t>
  </si>
  <si>
    <t>Credit Card Payment</t>
  </si>
  <si>
    <t>Easy Refi Interest Rate Stress</t>
  </si>
  <si>
    <t>Business/Resi Stock Mid</t>
  </si>
  <si>
    <t>Business/Resi Stock Quick &gt;50% LVR</t>
  </si>
  <si>
    <t>Business/Resi Stock Quick &lt;=50% LVR</t>
  </si>
  <si>
    <t>RM</t>
  </si>
  <si>
    <t>Serviceability Calculator</t>
  </si>
  <si>
    <t>Resi Loan maturity</t>
  </si>
  <si>
    <t>GST loan ICR adjustment factor</t>
  </si>
  <si>
    <t>Personal Loan maturity</t>
  </si>
  <si>
    <t>Lease/HP maturity</t>
  </si>
  <si>
    <t>Paramount</t>
  </si>
  <si>
    <t>Lease/HP Balloon</t>
  </si>
  <si>
    <t>GST</t>
  </si>
  <si>
    <t>NCCL</t>
  </si>
  <si>
    <t>SMSF Easy Refi</t>
  </si>
  <si>
    <t>YBR</t>
  </si>
  <si>
    <t>ICR Surplus Threshold</t>
  </si>
  <si>
    <t>I/O</t>
  </si>
  <si>
    <t>Red Rock</t>
  </si>
  <si>
    <t>HEM/ICR Surplus Threshold</t>
  </si>
  <si>
    <t>Lease Doc Haircut</t>
  </si>
  <si>
    <t>SMSF Min Yield</t>
  </si>
  <si>
    <t>SMSF Min Fund Exp</t>
  </si>
  <si>
    <t>Tax Scale</t>
  </si>
  <si>
    <t>Investment income haircut</t>
  </si>
  <si>
    <t>Medicare levy</t>
  </si>
  <si>
    <t>Expenses</t>
  </si>
  <si>
    <t>Region</t>
  </si>
  <si>
    <t>1 Adult</t>
  </si>
  <si>
    <t>2 Adults</t>
  </si>
  <si>
    <t>0 Children</t>
  </si>
  <si>
    <t>1 Child</t>
  </si>
  <si>
    <t>2 Children</t>
  </si>
  <si>
    <t>Each additional</t>
  </si>
  <si>
    <t>Adult</t>
  </si>
  <si>
    <t>Australia</t>
  </si>
  <si>
    <t>Sydney</t>
  </si>
  <si>
    <t>Balance of NSW</t>
  </si>
  <si>
    <t>Melbourne</t>
  </si>
  <si>
    <t>Balance of VIC</t>
  </si>
  <si>
    <t>Brisbane</t>
  </si>
  <si>
    <t>Balance of QLD</t>
  </si>
  <si>
    <t>Adelaide</t>
  </si>
  <si>
    <t>Balance of SA</t>
  </si>
  <si>
    <t>Perth</t>
  </si>
  <si>
    <t>Balance of WA</t>
  </si>
  <si>
    <t>Hobart</t>
  </si>
  <si>
    <t>Balance of TAS</t>
  </si>
  <si>
    <t>ACT &amp; NT</t>
  </si>
  <si>
    <t>Paste as values here</t>
  </si>
  <si>
    <t>Postcode 2011 to Greater Capital City Statistical Area 2011</t>
  </si>
  <si>
    <t>"HEM Table 1" equivalent: by Income Level and Geographic Location</t>
  </si>
  <si>
    <t>"HEM Table 1" equivalent: by Income Level and Residency</t>
  </si>
  <si>
    <t>BASED ON PREDICTED VALUES FROM THE QUANTILE REGRESSIONS</t>
  </si>
  <si>
    <t>Table 3 Correspondence</t>
  </si>
  <si>
    <t>Smoothed HEM</t>
  </si>
  <si>
    <t>POSTCODE_2011</t>
  </si>
  <si>
    <t>GCCSA_CODE_2011</t>
  </si>
  <si>
    <t>GCCSA_NAME_2011</t>
  </si>
  <si>
    <t>RATIO</t>
  </si>
  <si>
    <t>PERCENTAGE</t>
  </si>
  <si>
    <t>Total current gross HH income from all sources (measured in current dollars)</t>
  </si>
  <si>
    <t>Number Postcode</t>
  </si>
  <si>
    <t>0800</t>
  </si>
  <si>
    <t>7GDAR</t>
  </si>
  <si>
    <t>Greater Darwin</t>
  </si>
  <si>
    <t>or less</t>
  </si>
  <si>
    <t>to</t>
  </si>
  <si>
    <t>0810</t>
  </si>
  <si>
    <t>Rest of NT</t>
  </si>
  <si>
    <t>0812</t>
  </si>
  <si>
    <t>Rest of WA</t>
  </si>
  <si>
    <t>0820</t>
  </si>
  <si>
    <t>Rest of SA</t>
  </si>
  <si>
    <t>Couple</t>
  </si>
  <si>
    <t>0822</t>
  </si>
  <si>
    <t>Greater Sydney</t>
  </si>
  <si>
    <t>Couple with 1 child</t>
  </si>
  <si>
    <t>Per child</t>
  </si>
  <si>
    <t>7RNTE</t>
  </si>
  <si>
    <t>Rest of NSW</t>
  </si>
  <si>
    <t>Couple with 2 children</t>
  </si>
  <si>
    <t>0828</t>
  </si>
  <si>
    <t>Rest of Qld</t>
  </si>
  <si>
    <t>Couple with 3 children</t>
  </si>
  <si>
    <t>Single person</t>
  </si>
  <si>
    <t>0829</t>
  </si>
  <si>
    <t>Other Territories</t>
  </si>
  <si>
    <t>0830</t>
  </si>
  <si>
    <t>Australian Capital Territory</t>
  </si>
  <si>
    <t>0832</t>
  </si>
  <si>
    <t>Rest of Vic.</t>
  </si>
  <si>
    <t>Single parent with 1 child</t>
  </si>
  <si>
    <t>0835</t>
  </si>
  <si>
    <t>Greater Melbourne</t>
  </si>
  <si>
    <t>Single parent with 2 children</t>
  </si>
  <si>
    <t>0836</t>
  </si>
  <si>
    <t>Greater Brisbane</t>
  </si>
  <si>
    <t>Single parent with 3 children</t>
  </si>
  <si>
    <t>0837</t>
  </si>
  <si>
    <t>Greater Adelaide</t>
  </si>
  <si>
    <t>0838</t>
  </si>
  <si>
    <t>Greater Perth</t>
  </si>
  <si>
    <t>0840</t>
  </si>
  <si>
    <t>Greater Hobart</t>
  </si>
  <si>
    <t>0841</t>
  </si>
  <si>
    <t>Rest of Tas.</t>
  </si>
  <si>
    <t>0845</t>
  </si>
  <si>
    <t>Rest of Tasmania</t>
  </si>
  <si>
    <t>0846</t>
  </si>
  <si>
    <t>Rest of Western Australia</t>
  </si>
  <si>
    <t>Balace of WA</t>
  </si>
  <si>
    <t>0847</t>
  </si>
  <si>
    <t>0850</t>
  </si>
  <si>
    <t>0852</t>
  </si>
  <si>
    <t>5RWAU</t>
  </si>
  <si>
    <t>0853</t>
  </si>
  <si>
    <t>0854</t>
  </si>
  <si>
    <t>0860</t>
  </si>
  <si>
    <t>0862</t>
  </si>
  <si>
    <t>0870</t>
  </si>
  <si>
    <t>0872</t>
  </si>
  <si>
    <t>4RSAU</t>
  </si>
  <si>
    <t>0880</t>
  </si>
  <si>
    <t>0885</t>
  </si>
  <si>
    <t>0886</t>
  </si>
  <si>
    <t>0909</t>
  </si>
  <si>
    <t>1GSYD</t>
  </si>
  <si>
    <t>1RNSW</t>
  </si>
  <si>
    <t>3RQLD</t>
  </si>
  <si>
    <t>9OTER</t>
  </si>
  <si>
    <t>8ACTE</t>
  </si>
  <si>
    <t>2RVIC</t>
  </si>
  <si>
    <t>2GMEL</t>
  </si>
  <si>
    <t>3GBRI</t>
  </si>
  <si>
    <t>4GADE</t>
  </si>
  <si>
    <t>5GPER</t>
  </si>
  <si>
    <t>6GHOB</t>
  </si>
  <si>
    <t>6RTAS</t>
  </si>
  <si>
    <t>NONE</t>
  </si>
  <si>
    <t>None</t>
  </si>
  <si>
    <t>Branding Codes - File Name</t>
  </si>
  <si>
    <t>Branding Logos</t>
  </si>
  <si>
    <t>Branding Colour 1</t>
  </si>
  <si>
    <t>Branding Colour 2</t>
  </si>
  <si>
    <t>Branding Headings</t>
  </si>
  <si>
    <t>ThinkTank</t>
  </si>
  <si>
    <t xml:space="preserve">How to update the logo as dynamic </t>
  </si>
  <si>
    <t>https://trumpexcel.com/picture-lookup/</t>
  </si>
  <si>
    <t>0,100,75</t>
  </si>
  <si>
    <t>0,51,153</t>
  </si>
  <si>
    <t>Connective Advance</t>
  </si>
  <si>
    <t>227,46,110</t>
  </si>
  <si>
    <t>Rate Money</t>
  </si>
  <si>
    <t>Thrive</t>
  </si>
  <si>
    <t>211,255,3</t>
  </si>
  <si>
    <t xml:space="preserve">LJ Hooker </t>
  </si>
  <si>
    <t>0,144,214</t>
  </si>
  <si>
    <t>255,203,0</t>
  </si>
  <si>
    <t>04.08.2026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</si>
</sst>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quot;* #,##0.00_-;\-&quot;$&quot;* #,##0.00_-;_-&quot;$&quot;* &quot;-&quot;??_-;_-@_-"/>
    <numFmt numFmtId="43" formatCode="_-* #,##0.00_-;\-* #,##0.00_-;_-* &quot;-&quot;??_-;_-@_-"/>
    <numFmt numFmtId="164" formatCode="_(* #,##0.00_);_(* \(#,##0.00\);_(* &quot;-&quot;??_);_(@_)"/>
    <numFmt numFmtId="165" formatCode="_-* #,##0_-;\-* #,##0_-;_-* &quot;-&quot;??_-;_-@_-"/>
    <numFmt numFmtId="166" formatCode="[$-C09]dd\-mmm\-yy;@"/>
    <numFmt numFmtId="167" formatCode="0.0%"/>
    <numFmt numFmtId="168" formatCode="#,##0.0;\-#,##0.0"/>
    <numFmt numFmtId="169" formatCode="_(* #,##0_);_(* \(#,##0\);_(* &quot;-&quot;??_);_(@_)"/>
    <numFmt numFmtId="170" formatCode="&quot;$&quot;#,##0.00_);[Red]\(&quot;$&quot;#,##0.00\)"/>
    <numFmt numFmtId="171" formatCode="_-* #,##0.0_-;\-* #,##0.0_-;_-* &quot;-&quot;?_-;_-@_-"/>
    <numFmt numFmtId="172" formatCode="mmmm\-yy"/>
    <numFmt numFmtId="173" formatCode="&quot;$&quot;#,##0\ ;[Red]\(&quot;$&quot;#,##0\)"/>
    <numFmt numFmtId="174" formatCode="#,##0.0"/>
    <numFmt numFmtId="175" formatCode="#,##0\ ;[Red]\(#,##0\)"/>
    <numFmt numFmtId="176" formatCode="[$-C09]dd\-mmmm\-yyyy;@"/>
    <numFmt numFmtId="177" formatCode="&quot;$&quot;#,##0_0;[Red]\(&quot;$&quot;#,##0\)"/>
    <numFmt numFmtId="178" formatCode="_(&quot;$&quot;* #,##0.00_);_(&quot;$&quot;* \(#,##0.00\);_(&quot;$&quot;* &quot;-&quot;??_);_(@_)"/>
    <numFmt numFmtId="179" formatCode="&quot;$&quot;#,##0.00;[Red]&quot;$&quot;#,##0.00"/>
    <numFmt numFmtId="180" formatCode="&quot;$&quot;#,##0"/>
    <numFmt numFmtId="181" formatCode="_-&quot;$&quot;* #,##0_-;\-&quot;$&quot;* #,##0_-;_-&quot;$&quot;* &quot;-&quot;??_-;_-@_-"/>
  </numFmts>
  <fonts count="54" x14ac:knownFonts="1">
    <font>
      <sz val="10"/>
      <name val="Arial"/>
      <family val="2"/>
    </font>
    <font>
      <sz val="11"/>
      <color theme="1"/>
      <name val="Calibri"/>
      <family val="2"/>
      <scheme val="minor"/>
    </font>
    <font>
      <b/>
      <sz val="11"/>
      <color rgb="FF3F3F3F"/>
      <name val="Calibri"/>
      <family val="2"/>
      <scheme val="minor"/>
    </font>
    <font>
      <sz val="10"/>
      <name val="Arial"/>
      <family val="2"/>
    </font>
    <font>
      <b/>
      <sz val="10"/>
      <name val="Arial"/>
      <family val="2"/>
    </font>
    <font>
      <sz val="10"/>
      <color theme="4" tint="0.79998168889431442"/>
      <name val="Arial"/>
      <family val="2"/>
    </font>
    <font>
      <sz val="10"/>
      <color theme="0"/>
      <name val="Arial"/>
      <family val="2"/>
    </font>
    <font>
      <b/>
      <sz val="10"/>
      <color theme="0"/>
      <name val="Arial"/>
      <family val="2"/>
    </font>
    <font>
      <b/>
      <sz val="10"/>
      <color rgb="FFFF0000"/>
      <name val="Arial"/>
      <family val="2"/>
    </font>
    <font>
      <sz val="10"/>
      <color rgb="FFFF0000"/>
      <name val="Arial"/>
      <family val="2"/>
    </font>
    <font>
      <sz val="10"/>
      <color theme="1"/>
      <name val="Arial"/>
      <family val="2"/>
    </font>
    <font>
      <b/>
      <sz val="10"/>
      <color rgb="FFC00000"/>
      <name val="Arial"/>
      <family val="2"/>
    </font>
    <font>
      <b/>
      <sz val="11"/>
      <name val="Aptos"/>
      <family val="2"/>
    </font>
    <font>
      <b/>
      <sz val="10"/>
      <color indexed="20"/>
      <name val="Arial"/>
      <family val="2"/>
    </font>
    <font>
      <sz val="10"/>
      <color indexed="20"/>
      <name val="Arial"/>
      <family val="2"/>
    </font>
    <font>
      <b/>
      <sz val="11"/>
      <name val="Arial"/>
      <family val="2"/>
    </font>
    <font>
      <b/>
      <u/>
      <sz val="10"/>
      <name val="Arial"/>
      <family val="2"/>
    </font>
    <font>
      <b/>
      <sz val="14"/>
      <color indexed="9"/>
      <name val="Arial"/>
      <family val="2"/>
    </font>
    <font>
      <sz val="10"/>
      <color indexed="9"/>
      <name val="Arial"/>
      <family val="2"/>
    </font>
    <font>
      <i/>
      <sz val="10"/>
      <name val="Arial"/>
      <family val="2"/>
    </font>
    <font>
      <sz val="8"/>
      <name val="Arial"/>
      <family val="2"/>
    </font>
    <font>
      <b/>
      <sz val="8"/>
      <color indexed="20"/>
      <name val="Arial"/>
      <family val="2"/>
    </font>
    <font>
      <sz val="8"/>
      <color indexed="20"/>
      <name val="Arial"/>
      <family val="2"/>
    </font>
    <font>
      <b/>
      <sz val="8"/>
      <name val="Arial"/>
      <family val="2"/>
    </font>
    <font>
      <b/>
      <u/>
      <sz val="8"/>
      <name val="Arial"/>
      <family val="2"/>
    </font>
    <font>
      <sz val="8"/>
      <color indexed="9"/>
      <name val="Arial"/>
      <family val="2"/>
    </font>
    <font>
      <u/>
      <sz val="8"/>
      <color indexed="9"/>
      <name val="Arial"/>
      <family val="2"/>
    </font>
    <font>
      <i/>
      <sz val="8"/>
      <name val="Arial"/>
      <family val="2"/>
    </font>
    <font>
      <b/>
      <i/>
      <sz val="8"/>
      <name val="Arial"/>
      <family val="2"/>
    </font>
    <font>
      <sz val="8"/>
      <color theme="1"/>
      <name val="Arial"/>
      <family val="2"/>
    </font>
    <font>
      <b/>
      <sz val="16"/>
      <name val="Arial"/>
      <family val="2"/>
    </font>
    <font>
      <b/>
      <sz val="8"/>
      <color theme="1"/>
      <name val="Arial"/>
      <family val="2"/>
    </font>
    <font>
      <sz val="8"/>
      <color theme="0"/>
      <name val="Arial"/>
      <family val="2"/>
    </font>
    <font>
      <b/>
      <sz val="9"/>
      <color theme="0"/>
      <name val="Arial"/>
      <family val="2"/>
    </font>
    <font>
      <b/>
      <u/>
      <sz val="9"/>
      <color theme="0"/>
      <name val="Arial"/>
      <family val="2"/>
    </font>
    <font>
      <u/>
      <sz val="8"/>
      <color theme="1"/>
      <name val="Arial"/>
      <family val="2"/>
    </font>
    <font>
      <b/>
      <u/>
      <sz val="9"/>
      <color theme="1"/>
      <name val="Arial"/>
      <family val="2"/>
    </font>
    <font>
      <b/>
      <sz val="9"/>
      <color theme="1"/>
      <name val="Arial"/>
      <family val="2"/>
    </font>
    <font>
      <i/>
      <sz val="8"/>
      <color theme="1"/>
      <name val="Arial"/>
      <family val="2"/>
    </font>
    <font>
      <sz val="8"/>
      <color rgb="FF003399"/>
      <name val="Arial"/>
      <family val="2"/>
    </font>
    <font>
      <i/>
      <sz val="8"/>
      <color rgb="FF003399"/>
      <name val="Arial"/>
      <family val="2"/>
    </font>
    <font>
      <sz val="10"/>
      <name val="Calibri"/>
      <family val="2"/>
    </font>
    <font>
      <b/>
      <u/>
      <sz val="8"/>
      <color theme="1"/>
      <name val="Arial"/>
      <family val="2"/>
    </font>
    <font>
      <sz val="7"/>
      <color theme="1"/>
      <name val="Arial"/>
      <family val="2"/>
    </font>
    <font>
      <sz val="9"/>
      <name val="Arial"/>
      <family val="2"/>
    </font>
    <font>
      <u/>
      <sz val="10"/>
      <color theme="10"/>
      <name val="Arial"/>
      <family val="2"/>
    </font>
    <font>
      <b/>
      <sz val="10"/>
      <name val="Arial Narrow"/>
      <family val="2"/>
    </font>
    <font>
      <b/>
      <sz val="12"/>
      <name val="Arial"/>
      <family val="2"/>
    </font>
    <font>
      <b/>
      <sz val="22"/>
      <color theme="1"/>
      <name val="Calibri"/>
      <family val="2"/>
      <scheme val="minor"/>
    </font>
    <font>
      <sz val="12"/>
      <name val="Arial"/>
      <family val="2"/>
    </font>
    <font>
      <b/>
      <sz val="12"/>
      <color indexed="10"/>
      <name val="Arial"/>
      <family val="2"/>
    </font>
    <font>
      <b/>
      <sz val="11"/>
      <name val="Times New Roman"/>
      <family val="1"/>
    </font>
    <font>
      <sz val="11"/>
      <color indexed="9"/>
      <name val="Arial"/>
      <family val="2"/>
    </font>
    <font>
      <sz val="9"/>
      <color theme="0"/>
      <name val="Arial"/>
      <family val="2"/>
    </font>
  </fonts>
  <fills count="29">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1"/>
        <bgColor indexed="64"/>
      </patternFill>
    </fill>
    <fill>
      <patternFill patternType="solid">
        <fgColor rgb="FF00B050"/>
        <bgColor indexed="64"/>
      </patternFill>
    </fill>
    <fill>
      <patternFill patternType="solid">
        <fgColor rgb="FFFFFFCC"/>
        <bgColor indexed="64"/>
      </patternFill>
    </fill>
    <fill>
      <patternFill patternType="solid">
        <fgColor rgb="FFEFEFFF"/>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rgb="FFCCCCFF"/>
        <bgColor indexed="64"/>
      </patternFill>
    </fill>
    <fill>
      <patternFill patternType="solid">
        <fgColor rgb="FF3399FF"/>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92D050"/>
        <bgColor indexed="64"/>
      </patternFill>
    </fill>
    <fill>
      <patternFill patternType="solid">
        <fgColor indexed="9"/>
        <bgColor indexed="64"/>
      </patternFill>
    </fill>
    <fill>
      <patternFill patternType="solid">
        <fgColor indexed="26"/>
        <bgColor indexed="64"/>
      </patternFill>
    </fill>
    <fill>
      <patternFill patternType="solid">
        <fgColor indexed="65"/>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rgb="FF00644B"/>
        <bgColor indexed="64"/>
      </patternFill>
    </fill>
    <fill>
      <patternFill patternType="solid">
        <fgColor rgb="FF003399"/>
        <bgColor indexed="64"/>
      </patternFill>
    </fill>
    <fill>
      <patternFill patternType="solid">
        <fgColor rgb="FF0DD1BF"/>
        <bgColor indexed="64"/>
      </patternFill>
    </fill>
    <fill>
      <patternFill patternType="solid">
        <fgColor rgb="FFE32E6E"/>
        <bgColor indexed="64"/>
      </patternFill>
    </fill>
    <fill>
      <patternFill patternType="solid">
        <fgColor rgb="FF0090D6"/>
        <bgColor indexed="64"/>
      </patternFill>
    </fill>
    <fill>
      <patternFill patternType="solid">
        <fgColor rgb="FFFFCB00"/>
        <bgColor indexed="64"/>
      </patternFill>
    </fill>
    <fill>
      <patternFill patternType="solid">
        <fgColor rgb="FF1D1D1B"/>
        <bgColor indexed="64"/>
      </patternFill>
    </fill>
  </fills>
  <borders count="166">
    <border>
      <left/>
      <right/>
      <top/>
      <bottom/>
      <diagonal/>
    </border>
    <border>
      <left style="thin">
        <color rgb="FF3F3F3F"/>
      </left>
      <right style="thin">
        <color rgb="FF3F3F3F"/>
      </right>
      <top style="thin">
        <color rgb="FF3F3F3F"/>
      </top>
      <bottom style="thin">
        <color rgb="FF3F3F3F"/>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style="double">
        <color indexed="64"/>
      </left>
      <right style="hair">
        <color auto="1"/>
      </right>
      <top/>
      <bottom style="hair">
        <color rgb="FFCCCCFF"/>
      </bottom>
      <diagonal/>
    </border>
    <border>
      <left style="hair">
        <color indexed="64"/>
      </left>
      <right style="hair">
        <color indexed="64"/>
      </right>
      <top/>
      <bottom style="hair">
        <color rgb="FFCCCCFF"/>
      </bottom>
      <diagonal/>
    </border>
    <border>
      <left/>
      <right style="double">
        <color indexed="64"/>
      </right>
      <top/>
      <bottom style="hair">
        <color rgb="FFCCCCFF"/>
      </bottom>
      <diagonal/>
    </border>
    <border>
      <left style="double">
        <color indexed="64"/>
      </left>
      <right style="hair">
        <color auto="1"/>
      </right>
      <top style="hair">
        <color rgb="FFCCCCFF"/>
      </top>
      <bottom style="hair">
        <color rgb="FFCCCCFF"/>
      </bottom>
      <diagonal/>
    </border>
    <border>
      <left style="hair">
        <color indexed="64"/>
      </left>
      <right style="hair">
        <color indexed="64"/>
      </right>
      <top style="hair">
        <color rgb="FFCCCCFF"/>
      </top>
      <bottom style="hair">
        <color rgb="FFCCCCFF"/>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hair">
        <color auto="1"/>
      </right>
      <top style="hair">
        <color rgb="FFCCCCFF"/>
      </top>
      <bottom style="double">
        <color auto="1"/>
      </bottom>
      <diagonal/>
    </border>
    <border>
      <left style="hair">
        <color indexed="64"/>
      </left>
      <right style="hair">
        <color indexed="64"/>
      </right>
      <top style="hair">
        <color rgb="FFCCCCFF"/>
      </top>
      <bottom style="double">
        <color indexed="64"/>
      </bottom>
      <diagonal/>
    </border>
    <border>
      <left/>
      <right style="double">
        <color indexed="64"/>
      </right>
      <top style="hair">
        <color rgb="FFCCCCFF"/>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hair">
        <color indexed="64"/>
      </left>
      <right/>
      <top style="hair">
        <color rgb="FFCCCCFF"/>
      </top>
      <bottom style="hair">
        <color rgb="FFCCCCFF"/>
      </bottom>
      <diagonal/>
    </border>
    <border>
      <left/>
      <right style="double">
        <color indexed="64"/>
      </right>
      <top style="hair">
        <color rgb="FFCCCCFF"/>
      </top>
      <bottom style="hair">
        <color rgb="FFCCCCFF"/>
      </bottom>
      <diagonal/>
    </border>
    <border>
      <left style="thin">
        <color indexed="64"/>
      </left>
      <right style="double">
        <color indexed="64"/>
      </right>
      <top style="thin">
        <color indexed="64"/>
      </top>
      <bottom style="hair">
        <color rgb="FFCCCCFF"/>
      </bottom>
      <diagonal/>
    </border>
    <border>
      <left style="thin">
        <color indexed="64"/>
      </left>
      <right style="double">
        <color indexed="64"/>
      </right>
      <top style="hair">
        <color rgb="FFCCCCFF"/>
      </top>
      <bottom style="hair">
        <color rgb="FFCCCCFF"/>
      </bottom>
      <diagonal/>
    </border>
    <border>
      <left style="hair">
        <color indexed="64"/>
      </left>
      <right/>
      <top style="hair">
        <color rgb="FFCCCCFF"/>
      </top>
      <bottom style="double">
        <color indexed="64"/>
      </bottom>
      <diagonal/>
    </border>
    <border>
      <left style="thin">
        <color indexed="64"/>
      </left>
      <right style="double">
        <color indexed="64"/>
      </right>
      <top style="hair">
        <color rgb="FFCCCCFF"/>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double">
        <color indexed="64"/>
      </left>
      <right style="hair">
        <color indexed="64"/>
      </right>
      <top style="thin">
        <color indexed="64"/>
      </top>
      <bottom/>
      <diagonal/>
    </border>
    <border>
      <left style="hair">
        <color indexed="64"/>
      </left>
      <right style="double">
        <color indexed="64"/>
      </right>
      <top style="thin">
        <color indexed="64"/>
      </top>
      <bottom style="hair">
        <color rgb="FFCCCCFF"/>
      </bottom>
      <diagonal/>
    </border>
    <border>
      <left style="double">
        <color indexed="64"/>
      </left>
      <right style="hair">
        <color indexed="64"/>
      </right>
      <top/>
      <bottom/>
      <diagonal/>
    </border>
    <border>
      <left style="hair">
        <color indexed="64"/>
      </left>
      <right style="double">
        <color indexed="64"/>
      </right>
      <top style="hair">
        <color rgb="FFCCCCFF"/>
      </top>
      <bottom style="hair">
        <color rgb="FFCCCCFF"/>
      </bottom>
      <diagonal/>
    </border>
    <border>
      <left style="double">
        <color indexed="64"/>
      </left>
      <right/>
      <top style="thin">
        <color indexed="64"/>
      </top>
      <bottom/>
      <diagonal/>
    </border>
    <border>
      <left style="hair">
        <color indexed="64"/>
      </left>
      <right style="hair">
        <color indexed="64"/>
      </right>
      <top style="thin">
        <color indexed="64"/>
      </top>
      <bottom style="hair">
        <color rgb="FFCCCCFF"/>
      </bottom>
      <diagonal/>
    </border>
    <border>
      <left/>
      <right style="double">
        <color indexed="64"/>
      </right>
      <top style="thin">
        <color indexed="64"/>
      </top>
      <bottom style="hair">
        <color rgb="FFCCCCFF"/>
      </bottom>
      <diagonal/>
    </border>
    <border>
      <left style="double">
        <color indexed="64"/>
      </left>
      <right style="hair">
        <color indexed="64"/>
      </right>
      <top/>
      <bottom style="double">
        <color indexed="64"/>
      </bottom>
      <diagonal/>
    </border>
    <border>
      <left style="hair">
        <color indexed="64"/>
      </left>
      <right style="double">
        <color indexed="64"/>
      </right>
      <top style="hair">
        <color rgb="FFCCCCFF"/>
      </top>
      <bottom style="double">
        <color indexed="64"/>
      </bottom>
      <diagonal/>
    </border>
    <border>
      <left/>
      <right style="hair">
        <color indexed="64"/>
      </right>
      <top style="double">
        <color indexed="64"/>
      </top>
      <bottom/>
      <diagonal/>
    </border>
    <border>
      <left/>
      <right style="hair">
        <color indexed="64"/>
      </right>
      <top/>
      <bottom/>
      <diagonal/>
    </border>
    <border>
      <left style="double">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double">
        <color indexed="64"/>
      </right>
      <top/>
      <bottom style="thin">
        <color indexed="64"/>
      </bottom>
      <diagonal/>
    </border>
    <border>
      <left/>
      <right style="hair">
        <color auto="1"/>
      </right>
      <top style="hair">
        <color rgb="FFCCCCFF"/>
      </top>
      <bottom style="hair">
        <color rgb="FFCCCCFF"/>
      </bottom>
      <diagonal/>
    </border>
    <border>
      <left/>
      <right/>
      <top style="hair">
        <color rgb="FFCCCCFF"/>
      </top>
      <bottom style="hair">
        <color rgb="FFCCCCFF"/>
      </bottom>
      <diagonal/>
    </border>
    <border>
      <left/>
      <right style="hair">
        <color indexed="64"/>
      </right>
      <top style="hair">
        <color rgb="FFCCCCFF"/>
      </top>
      <bottom style="double">
        <color auto="1"/>
      </bottom>
      <diagonal/>
    </border>
    <border>
      <left/>
      <right style="hair">
        <color auto="1"/>
      </right>
      <top style="thin">
        <color indexed="64"/>
      </top>
      <bottom style="hair">
        <color rgb="FFCCCCF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style="hair">
        <color auto="1"/>
      </right>
      <top style="thin">
        <color indexed="64"/>
      </top>
      <bottom style="hair">
        <color rgb="FFCCCCFF"/>
      </bottom>
      <diagonal/>
    </border>
    <border>
      <left style="hair">
        <color indexed="64"/>
      </left>
      <right/>
      <top style="double">
        <color indexed="64"/>
      </top>
      <bottom/>
      <diagonal/>
    </border>
    <border>
      <left style="hair">
        <color indexed="64"/>
      </left>
      <right style="double">
        <color indexed="64"/>
      </right>
      <top/>
      <bottom style="double">
        <color indexed="64"/>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31"/>
      </left>
      <right/>
      <top style="thin">
        <color indexed="31"/>
      </top>
      <bottom style="thin">
        <color indexed="31"/>
      </bottom>
      <diagonal/>
    </border>
    <border>
      <left/>
      <right/>
      <top style="thin">
        <color indexed="31"/>
      </top>
      <bottom style="thin">
        <color indexed="31"/>
      </bottom>
      <diagonal/>
    </border>
    <border>
      <left/>
      <right style="thin">
        <color indexed="31"/>
      </right>
      <top style="thin">
        <color indexed="31"/>
      </top>
      <bottom style="thin">
        <color indexed="31"/>
      </bottom>
      <diagonal/>
    </border>
    <border>
      <left/>
      <right style="thin">
        <color indexed="55"/>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hair">
        <color indexed="31"/>
      </top>
      <bottom style="hair">
        <color indexed="31"/>
      </bottom>
      <diagonal/>
    </border>
    <border>
      <left/>
      <right style="thin">
        <color indexed="64"/>
      </right>
      <top style="hair">
        <color indexed="31"/>
      </top>
      <bottom style="hair">
        <color indexed="31"/>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55"/>
      </left>
      <right style="hair">
        <color indexed="55"/>
      </right>
      <top style="medium">
        <color indexed="64"/>
      </top>
      <bottom/>
      <diagonal/>
    </border>
    <border>
      <left style="hair">
        <color indexed="55"/>
      </left>
      <right style="medium">
        <color indexed="64"/>
      </right>
      <top style="medium">
        <color indexed="64"/>
      </top>
      <bottom/>
      <diagonal/>
    </border>
    <border>
      <left/>
      <right style="thin">
        <color indexed="9"/>
      </right>
      <top style="hair">
        <color indexed="31"/>
      </top>
      <bottom style="hair">
        <color indexed="31"/>
      </bottom>
      <diagonal/>
    </border>
    <border>
      <left style="thin">
        <color indexed="9"/>
      </left>
      <right/>
      <top style="hair">
        <color indexed="31"/>
      </top>
      <bottom style="hair">
        <color indexed="31"/>
      </bottom>
      <diagonal/>
    </border>
    <border>
      <left/>
      <right/>
      <top style="hair">
        <color indexed="31"/>
      </top>
      <bottom style="hair">
        <color indexed="31"/>
      </bottom>
      <diagonal/>
    </border>
    <border>
      <left style="hair">
        <color indexed="55"/>
      </left>
      <right style="hair">
        <color indexed="55"/>
      </right>
      <top/>
      <bottom/>
      <diagonal/>
    </border>
    <border>
      <left style="hair">
        <color indexed="55"/>
      </left>
      <right style="medium">
        <color indexed="64"/>
      </right>
      <top/>
      <bottom/>
      <diagonal/>
    </border>
    <border>
      <left/>
      <right style="thin">
        <color indexed="9"/>
      </right>
      <top style="hair">
        <color indexed="31"/>
      </top>
      <bottom style="thin">
        <color indexed="64"/>
      </bottom>
      <diagonal/>
    </border>
    <border>
      <left style="thin">
        <color indexed="9"/>
      </left>
      <right/>
      <top style="hair">
        <color indexed="31"/>
      </top>
      <bottom style="thin">
        <color indexed="64"/>
      </bottom>
      <diagonal/>
    </border>
    <border>
      <left/>
      <right/>
      <top style="hair">
        <color indexed="31"/>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9"/>
      </right>
      <top/>
      <bottom/>
      <diagonal/>
    </border>
    <border>
      <left style="thin">
        <color indexed="9"/>
      </left>
      <right/>
      <top/>
      <bottom/>
      <diagonal/>
    </border>
    <border>
      <left style="hair">
        <color indexed="55"/>
      </left>
      <right style="hair">
        <color indexed="55"/>
      </right>
      <top/>
      <bottom style="medium">
        <color indexed="64"/>
      </bottom>
      <diagonal/>
    </border>
    <border>
      <left style="hair">
        <color indexed="55"/>
      </left>
      <right style="medium">
        <color indexed="64"/>
      </right>
      <top/>
      <bottom style="medium">
        <color indexed="64"/>
      </bottom>
      <diagonal/>
    </border>
    <border>
      <left style="thin">
        <color indexed="31"/>
      </left>
      <right/>
      <top style="thin">
        <color indexed="31"/>
      </top>
      <bottom/>
      <diagonal/>
    </border>
    <border>
      <left/>
      <right style="thin">
        <color indexed="31"/>
      </right>
      <top style="thin">
        <color indexed="31"/>
      </top>
      <bottom/>
      <diagonal/>
    </border>
    <border>
      <left style="thin">
        <color indexed="31"/>
      </left>
      <right/>
      <top/>
      <bottom style="thin">
        <color indexed="31"/>
      </bottom>
      <diagonal/>
    </border>
    <border>
      <left/>
      <right style="thin">
        <color indexed="31"/>
      </right>
      <top/>
      <bottom style="thin">
        <color indexed="3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
      <left style="hair">
        <color auto="1"/>
      </left>
      <right/>
      <top style="thin">
        <color indexed="64"/>
      </top>
      <bottom style="hair">
        <color rgb="FFCCCCFF"/>
      </bottom>
      <diagonal/>
    </border>
    <border>
      <left/>
      <right style="hair">
        <color auto="1"/>
      </right>
      <top style="thin">
        <color indexed="64"/>
      </top>
      <bottom/>
      <diagonal/>
    </border>
    <border>
      <left/>
      <right style="hair">
        <color auto="1"/>
      </right>
      <top/>
      <bottom style="hair">
        <color rgb="FFCCCCFF"/>
      </bottom>
      <diagonal/>
    </border>
    <border>
      <left/>
      <right/>
      <top style="thin">
        <color indexed="64"/>
      </top>
      <bottom style="hair">
        <color rgb="FFCCCCFF"/>
      </bottom>
      <diagonal/>
    </border>
    <border>
      <left/>
      <right style="hair">
        <color auto="1"/>
      </right>
      <top style="hair">
        <color rgb="FFCCCCFF"/>
      </top>
      <bottom/>
      <diagonal/>
    </border>
    <border>
      <left style="hair">
        <color indexed="64"/>
      </left>
      <right style="hair">
        <color indexed="64"/>
      </right>
      <top style="hair">
        <color rgb="FFCCCCFF"/>
      </top>
      <bottom/>
      <diagonal/>
    </border>
    <border>
      <left/>
      <right style="hair">
        <color auto="1"/>
      </right>
      <top style="double">
        <color indexed="64"/>
      </top>
      <bottom style="double">
        <color indexed="64"/>
      </bottom>
      <diagonal/>
    </border>
    <border>
      <left style="hair">
        <color auto="1"/>
      </left>
      <right style="hair">
        <color auto="1"/>
      </right>
      <top style="double">
        <color indexed="64"/>
      </top>
      <bottom style="double">
        <color indexed="64"/>
      </bottom>
      <diagonal/>
    </border>
    <border>
      <left style="hair">
        <color auto="1"/>
      </left>
      <right/>
      <top style="double">
        <color indexed="64"/>
      </top>
      <bottom style="double">
        <color indexed="64"/>
      </bottom>
      <diagonal/>
    </border>
    <border>
      <left style="hair">
        <color indexed="64"/>
      </left>
      <right/>
      <top style="hair">
        <color rgb="FFCCCCFF"/>
      </top>
      <bottom/>
      <diagonal/>
    </border>
    <border>
      <left/>
      <right/>
      <top style="hair">
        <color rgb="FFCCCCFF"/>
      </top>
      <bottom style="double">
        <color indexed="64"/>
      </bottom>
      <diagonal/>
    </border>
    <border>
      <left/>
      <right style="hair">
        <color auto="1"/>
      </right>
      <top style="double">
        <color theme="1"/>
      </top>
      <bottom style="double">
        <color indexed="64"/>
      </bottom>
      <diagonal/>
    </border>
    <border>
      <left style="hair">
        <color auto="1"/>
      </left>
      <right style="hair">
        <color auto="1"/>
      </right>
      <top style="double">
        <color theme="1"/>
      </top>
      <bottom style="double">
        <color indexed="64"/>
      </bottom>
      <diagonal/>
    </border>
    <border>
      <left style="hair">
        <color indexed="64"/>
      </left>
      <right/>
      <top style="double">
        <color theme="1"/>
      </top>
      <bottom style="double">
        <color indexed="64"/>
      </bottom>
      <diagonal/>
    </border>
    <border>
      <left/>
      <right style="double">
        <color indexed="64"/>
      </right>
      <top style="double">
        <color theme="1"/>
      </top>
      <bottom style="double">
        <color indexed="64"/>
      </bottom>
      <diagonal/>
    </border>
    <border>
      <left/>
      <right/>
      <top/>
      <bottom style="hair">
        <color rgb="FFCCCCFF"/>
      </bottom>
      <diagonal/>
    </border>
    <border>
      <left/>
      <right style="double">
        <color indexed="64"/>
      </right>
      <top style="hair">
        <color rgb="FFCCCCFF"/>
      </top>
      <bottom/>
      <diagonal/>
    </border>
    <border>
      <left/>
      <right style="hair">
        <color indexed="64"/>
      </right>
      <top/>
      <bottom style="double">
        <color indexed="64"/>
      </bottom>
      <diagonal/>
    </border>
    <border>
      <left style="hair">
        <color auto="1"/>
      </left>
      <right/>
      <top/>
      <bottom style="double">
        <color indexed="64"/>
      </bottom>
      <diagonal/>
    </border>
    <border>
      <left style="thin">
        <color theme="1"/>
      </left>
      <right/>
      <top/>
      <bottom/>
      <diagonal/>
    </border>
    <border>
      <left/>
      <right style="thin">
        <color theme="1"/>
      </right>
      <top/>
      <bottom/>
      <diagonal/>
    </border>
    <border>
      <left style="hair">
        <color auto="1"/>
      </left>
      <right style="double">
        <color auto="1"/>
      </right>
      <top/>
      <bottom style="hair">
        <color rgb="FFCCCCFF"/>
      </bottom>
      <diagonal/>
    </border>
    <border>
      <left style="double">
        <color indexed="64"/>
      </left>
      <right style="hair">
        <color indexed="64"/>
      </right>
      <top style="hair">
        <color rgb="FFCCCCFF"/>
      </top>
      <bottom/>
      <diagonal/>
    </border>
    <border>
      <left style="hair">
        <color indexed="64"/>
      </left>
      <right style="hair">
        <color indexed="64"/>
      </right>
      <top/>
      <bottom style="double">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double">
        <color theme="2" tint="-0.499984740745262"/>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theme="0"/>
      </left>
      <right/>
      <top style="double">
        <color theme="0"/>
      </top>
      <bottom style="double">
        <color theme="0"/>
      </bottom>
      <diagonal/>
    </border>
    <border>
      <left style="double">
        <color theme="0"/>
      </left>
      <right style="double">
        <color theme="0"/>
      </right>
      <top style="double">
        <color theme="0"/>
      </top>
      <bottom style="double">
        <color theme="0"/>
      </bottom>
      <diagonal/>
    </border>
    <border>
      <left/>
      <right style="double">
        <color theme="0"/>
      </right>
      <top style="double">
        <color theme="0"/>
      </top>
      <bottom style="double">
        <color theme="0"/>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theme="0"/>
      </left>
      <right/>
      <top/>
      <bottom/>
      <diagonal/>
    </border>
    <border>
      <left style="double">
        <color theme="0"/>
      </left>
      <right style="double">
        <color theme="0"/>
      </right>
      <top/>
      <bottom/>
      <diagonal/>
    </border>
    <border>
      <left/>
      <right style="double">
        <color theme="0"/>
      </right>
      <top/>
      <bottom/>
      <diagonal/>
    </border>
    <border>
      <left style="double">
        <color theme="0"/>
      </left>
      <right/>
      <top/>
      <bottom style="double">
        <color theme="0"/>
      </bottom>
      <diagonal/>
    </border>
    <border>
      <left style="double">
        <color theme="0"/>
      </left>
      <right style="double">
        <color theme="0"/>
      </right>
      <top/>
      <bottom style="double">
        <color theme="0"/>
      </bottom>
      <diagonal/>
    </border>
    <border>
      <left/>
      <right style="double">
        <color theme="0"/>
      </right>
      <top/>
      <bottom style="double">
        <color theme="0"/>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s>
  <cellStyleXfs count="9">
    <xf numFmtId="0" fontId="0" fillId="0" borderId="0"/>
    <xf numFmtId="16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 fillId="2" borderId="1" applyNumberFormat="0" applyAlignment="0" applyProtection="0"/>
    <xf numFmtId="0" fontId="29" fillId="0" borderId="0"/>
    <xf numFmtId="178" fontId="3" fillId="0" borderId="0" applyFont="0" applyFill="0" applyBorder="0" applyAlignment="0" applyProtection="0"/>
    <xf numFmtId="0" fontId="45" fillId="0" borderId="0" applyNumberFormat="0" applyFill="0" applyBorder="0" applyAlignment="0" applyProtection="0"/>
    <xf numFmtId="0" fontId="1" fillId="0" borderId="0"/>
  </cellStyleXfs>
  <cellXfs count="833">
    <xf numFmtId="0" fontId="0" fillId="0" borderId="0" xfId="0"/>
    <xf numFmtId="0" fontId="3" fillId="0" borderId="0" xfId="0" applyFont="1"/>
    <xf numFmtId="0" fontId="4" fillId="0" borderId="0" xfId="0" applyFont="1" applyProtection="1">
      <protection hidden="1"/>
    </xf>
    <xf numFmtId="0" fontId="0" fillId="0" borderId="0" xfId="0" applyProtection="1">
      <protection hidden="1"/>
    </xf>
    <xf numFmtId="0" fontId="0" fillId="3" borderId="0" xfId="0" applyFill="1" applyProtection="1">
      <protection hidden="1"/>
    </xf>
    <xf numFmtId="0" fontId="5" fillId="0" borderId="0" xfId="0" applyFont="1" applyProtection="1">
      <protection hidden="1"/>
    </xf>
    <xf numFmtId="0" fontId="6" fillId="3" borderId="0" xfId="0" applyFont="1" applyFill="1" applyProtection="1">
      <protection hidden="1"/>
    </xf>
    <xf numFmtId="0" fontId="7" fillId="4" borderId="2" xfId="0" applyFont="1" applyFill="1" applyBorder="1" applyAlignment="1" applyProtection="1">
      <alignment horizontal="center"/>
      <protection hidden="1"/>
    </xf>
    <xf numFmtId="0" fontId="7" fillId="4" borderId="3" xfId="0" applyFont="1" applyFill="1" applyBorder="1" applyProtection="1">
      <protection hidden="1"/>
    </xf>
    <xf numFmtId="0" fontId="7" fillId="4" borderId="3" xfId="0" applyFont="1" applyFill="1" applyBorder="1" applyAlignment="1" applyProtection="1">
      <alignment horizontal="center"/>
      <protection hidden="1"/>
    </xf>
    <xf numFmtId="0" fontId="7" fillId="4" borderId="4" xfId="0" applyFont="1" applyFill="1" applyBorder="1" applyAlignment="1" applyProtection="1">
      <alignment horizontal="center"/>
      <protection hidden="1"/>
    </xf>
    <xf numFmtId="0" fontId="7" fillId="3" borderId="0" xfId="0" applyFont="1" applyFill="1" applyAlignment="1" applyProtection="1">
      <alignment horizontal="center"/>
      <protection hidden="1"/>
    </xf>
    <xf numFmtId="0" fontId="7" fillId="4" borderId="5" xfId="0" applyFont="1" applyFill="1" applyBorder="1" applyAlignment="1" applyProtection="1">
      <alignment horizontal="center"/>
      <protection hidden="1"/>
    </xf>
    <xf numFmtId="0" fontId="7" fillId="4" borderId="6" xfId="0" applyFont="1" applyFill="1" applyBorder="1" applyAlignment="1" applyProtection="1">
      <alignment horizontal="center"/>
      <protection hidden="1"/>
    </xf>
    <xf numFmtId="0" fontId="7" fillId="4" borderId="7" xfId="0" applyFont="1" applyFill="1" applyBorder="1" applyAlignment="1" applyProtection="1">
      <alignment horizontal="center"/>
      <protection hidden="1"/>
    </xf>
    <xf numFmtId="0" fontId="7" fillId="4" borderId="8" xfId="0" applyFont="1" applyFill="1" applyBorder="1" applyAlignment="1" applyProtection="1">
      <alignment horizontal="center"/>
      <protection hidden="1"/>
    </xf>
    <xf numFmtId="0" fontId="7" fillId="0" borderId="9" xfId="0" applyFont="1" applyBorder="1" applyAlignment="1" applyProtection="1">
      <alignment horizontal="center"/>
      <protection hidden="1"/>
    </xf>
    <xf numFmtId="0" fontId="7" fillId="0" borderId="10" xfId="0" applyFont="1" applyBorder="1" applyProtection="1">
      <protection hidden="1"/>
    </xf>
    <xf numFmtId="0" fontId="4" fillId="0" borderId="11" xfId="0" applyFont="1" applyBorder="1" applyAlignment="1" applyProtection="1">
      <alignment horizontal="center"/>
      <protection hidden="1"/>
    </xf>
    <xf numFmtId="164" fontId="4" fillId="5" borderId="12" xfId="0" applyNumberFormat="1" applyFont="1" applyFill="1" applyBorder="1" applyAlignment="1" applyProtection="1">
      <alignment horizontal="center"/>
      <protection hidden="1"/>
    </xf>
    <xf numFmtId="164" fontId="4" fillId="6" borderId="12" xfId="1" applyFont="1" applyFill="1" applyBorder="1" applyAlignment="1" applyProtection="1">
      <alignment horizontal="center"/>
      <protection hidden="1"/>
    </xf>
    <xf numFmtId="164" fontId="4" fillId="5" borderId="13" xfId="0" applyNumberFormat="1" applyFont="1" applyFill="1" applyBorder="1" applyAlignment="1" applyProtection="1">
      <alignment horizontal="center"/>
      <protection hidden="1"/>
    </xf>
    <xf numFmtId="164" fontId="7" fillId="3" borderId="0" xfId="0" applyNumberFormat="1" applyFont="1" applyFill="1" applyAlignment="1" applyProtection="1">
      <alignment horizontal="center"/>
      <protection hidden="1"/>
    </xf>
    <xf numFmtId="164" fontId="4" fillId="5" borderId="14" xfId="1" applyFont="1" applyFill="1" applyBorder="1" applyAlignment="1" applyProtection="1">
      <alignment horizontal="center"/>
      <protection hidden="1"/>
    </xf>
    <xf numFmtId="164" fontId="4" fillId="5" borderId="15" xfId="1" applyFont="1" applyFill="1" applyBorder="1" applyAlignment="1" applyProtection="1">
      <alignment horizontal="center"/>
      <protection hidden="1"/>
    </xf>
    <xf numFmtId="2" fontId="0" fillId="6" borderId="16" xfId="0" applyNumberFormat="1" applyFill="1" applyBorder="1" applyProtection="1">
      <protection hidden="1"/>
    </xf>
    <xf numFmtId="0" fontId="8" fillId="3" borderId="0" xfId="0" applyFont="1" applyFill="1" applyAlignment="1" applyProtection="1">
      <alignment horizontal="center"/>
      <protection hidden="1"/>
    </xf>
    <xf numFmtId="0" fontId="0" fillId="6" borderId="17" xfId="0" applyFill="1" applyBorder="1" applyAlignment="1" applyProtection="1">
      <alignment horizontal="center"/>
      <protection hidden="1"/>
    </xf>
    <xf numFmtId="0" fontId="0" fillId="6" borderId="18" xfId="0" applyFill="1" applyBorder="1" applyAlignment="1" applyProtection="1">
      <alignment horizontal="center" wrapText="1"/>
      <protection hidden="1"/>
    </xf>
    <xf numFmtId="0" fontId="0" fillId="6" borderId="18" xfId="0" applyFill="1" applyBorder="1" applyAlignment="1" applyProtection="1">
      <alignment horizontal="center"/>
      <protection hidden="1"/>
    </xf>
    <xf numFmtId="164" fontId="0" fillId="6" borderId="18" xfId="0" applyNumberFormat="1" applyFill="1" applyBorder="1" applyAlignment="1" applyProtection="1">
      <alignment horizontal="center"/>
      <protection hidden="1"/>
    </xf>
    <xf numFmtId="164" fontId="0" fillId="6" borderId="18" xfId="1" applyFont="1" applyFill="1" applyBorder="1" applyAlignment="1" applyProtection="1">
      <alignment horizontal="center"/>
      <protection hidden="1"/>
    </xf>
    <xf numFmtId="164" fontId="0" fillId="6" borderId="19" xfId="0" applyNumberFormat="1" applyFill="1" applyBorder="1" applyAlignment="1" applyProtection="1">
      <alignment horizontal="center"/>
      <protection hidden="1"/>
    </xf>
    <xf numFmtId="0" fontId="0" fillId="6" borderId="20" xfId="0" applyFill="1" applyBorder="1" applyAlignment="1" applyProtection="1">
      <alignment horizontal="center"/>
      <protection hidden="1"/>
    </xf>
    <xf numFmtId="0" fontId="0" fillId="6" borderId="21" xfId="0" applyFill="1" applyBorder="1" applyAlignment="1" applyProtection="1">
      <alignment wrapText="1"/>
      <protection hidden="1"/>
    </xf>
    <xf numFmtId="0" fontId="0" fillId="6" borderId="21" xfId="0" applyFill="1" applyBorder="1" applyAlignment="1" applyProtection="1">
      <alignment horizontal="center"/>
      <protection hidden="1"/>
    </xf>
    <xf numFmtId="0" fontId="0" fillId="7" borderId="22" xfId="0" applyFill="1" applyBorder="1" applyProtection="1">
      <protection locked="0" hidden="1"/>
    </xf>
    <xf numFmtId="0" fontId="0" fillId="7" borderId="0" xfId="0" applyFill="1" applyProtection="1">
      <protection locked="0" hidden="1"/>
    </xf>
    <xf numFmtId="0" fontId="0" fillId="7" borderId="23" xfId="0" applyFill="1" applyBorder="1" applyProtection="1">
      <protection locked="0" hidden="1"/>
    </xf>
    <xf numFmtId="0" fontId="0" fillId="7" borderId="24" xfId="0" applyFill="1" applyBorder="1" applyProtection="1">
      <protection locked="0" hidden="1"/>
    </xf>
    <xf numFmtId="0" fontId="0" fillId="7" borderId="25" xfId="0" applyFill="1" applyBorder="1" applyProtection="1">
      <protection locked="0" hidden="1"/>
    </xf>
    <xf numFmtId="0" fontId="0" fillId="7" borderId="26" xfId="0" applyFill="1" applyBorder="1" applyProtection="1">
      <protection locked="0" hidden="1"/>
    </xf>
    <xf numFmtId="0" fontId="6" fillId="0" borderId="0" xfId="0" applyFont="1" applyProtection="1">
      <protection hidden="1"/>
    </xf>
    <xf numFmtId="0" fontId="0" fillId="6" borderId="27" xfId="0" applyFill="1" applyBorder="1" applyAlignment="1" applyProtection="1">
      <alignment horizontal="center"/>
      <protection hidden="1"/>
    </xf>
    <xf numFmtId="0" fontId="0" fillId="6" borderId="28" xfId="0" applyFill="1" applyBorder="1" applyAlignment="1" applyProtection="1">
      <alignment wrapText="1"/>
      <protection hidden="1"/>
    </xf>
    <xf numFmtId="0" fontId="0" fillId="6" borderId="28" xfId="0" applyFill="1" applyBorder="1" applyAlignment="1" applyProtection="1">
      <alignment horizontal="center"/>
      <protection hidden="1"/>
    </xf>
    <xf numFmtId="164" fontId="0" fillId="6" borderId="28" xfId="1" applyFont="1" applyFill="1" applyBorder="1" applyAlignment="1" applyProtection="1">
      <alignment horizontal="center"/>
      <protection hidden="1"/>
    </xf>
    <xf numFmtId="164" fontId="0" fillId="6" borderId="28" xfId="0" applyNumberFormat="1" applyFill="1" applyBorder="1" applyAlignment="1" applyProtection="1">
      <alignment horizontal="center"/>
      <protection hidden="1"/>
    </xf>
    <xf numFmtId="164" fontId="0" fillId="6" borderId="29" xfId="0" applyNumberFormat="1" applyFill="1" applyBorder="1" applyAlignment="1" applyProtection="1">
      <alignment horizontal="center"/>
      <protection hidden="1"/>
    </xf>
    <xf numFmtId="0" fontId="9" fillId="0" borderId="0" xfId="0" applyFont="1" applyProtection="1">
      <protection hidden="1"/>
    </xf>
    <xf numFmtId="0" fontId="3" fillId="3" borderId="0" xfId="0" applyFont="1" applyFill="1" applyProtection="1">
      <protection hidden="1"/>
    </xf>
    <xf numFmtId="0" fontId="7" fillId="4" borderId="2" xfId="0" applyFont="1" applyFill="1" applyBorder="1" applyAlignment="1" applyProtection="1">
      <alignment horizontal="center" wrapText="1"/>
      <protection hidden="1"/>
    </xf>
    <xf numFmtId="0" fontId="7" fillId="4" borderId="3" xfId="0" applyFont="1" applyFill="1" applyBorder="1" applyAlignment="1" applyProtection="1">
      <alignment horizontal="center" wrapText="1"/>
      <protection hidden="1"/>
    </xf>
    <xf numFmtId="0" fontId="7" fillId="4" borderId="30" xfId="0" applyFont="1" applyFill="1" applyBorder="1" applyAlignment="1" applyProtection="1">
      <alignment horizontal="center" wrapText="1"/>
      <protection hidden="1"/>
    </xf>
    <xf numFmtId="0" fontId="7" fillId="4" borderId="31" xfId="0" applyFont="1" applyFill="1" applyBorder="1" applyAlignment="1" applyProtection="1">
      <alignment horizontal="center" wrapText="1"/>
      <protection hidden="1"/>
    </xf>
    <xf numFmtId="0" fontId="7" fillId="4" borderId="4" xfId="0" applyFont="1" applyFill="1" applyBorder="1" applyAlignment="1" applyProtection="1">
      <alignment horizontal="center" wrapText="1"/>
      <protection hidden="1"/>
    </xf>
    <xf numFmtId="0" fontId="7" fillId="3" borderId="32" xfId="0" applyFont="1" applyFill="1" applyBorder="1" applyAlignment="1" applyProtection="1">
      <alignment horizontal="center" wrapText="1"/>
      <protection hidden="1"/>
    </xf>
    <xf numFmtId="0" fontId="0" fillId="6" borderId="21" xfId="0" applyFill="1" applyBorder="1" applyProtection="1">
      <protection hidden="1"/>
    </xf>
    <xf numFmtId="165" fontId="0" fillId="6" borderId="21" xfId="1" applyNumberFormat="1" applyFont="1" applyFill="1" applyBorder="1" applyAlignment="1" applyProtection="1">
      <alignment horizontal="center"/>
      <protection hidden="1"/>
    </xf>
    <xf numFmtId="165" fontId="4" fillId="6" borderId="21" xfId="1" applyNumberFormat="1" applyFont="1" applyFill="1" applyBorder="1" applyAlignment="1" applyProtection="1">
      <alignment horizontal="center"/>
      <protection hidden="1"/>
    </xf>
    <xf numFmtId="165" fontId="0" fillId="6" borderId="33" xfId="1" applyNumberFormat="1" applyFont="1" applyFill="1" applyBorder="1" applyAlignment="1" applyProtection="1">
      <alignment horizontal="center"/>
      <protection hidden="1"/>
    </xf>
    <xf numFmtId="165" fontId="0" fillId="6" borderId="18" xfId="1" applyNumberFormat="1" applyFont="1" applyFill="1" applyBorder="1" applyAlignment="1" applyProtection="1">
      <alignment horizontal="center"/>
      <protection hidden="1"/>
    </xf>
    <xf numFmtId="165" fontId="3" fillId="6" borderId="34" xfId="1" applyNumberFormat="1" applyFont="1" applyFill="1" applyBorder="1" applyAlignment="1" applyProtection="1">
      <alignment horizontal="center"/>
      <protection hidden="1"/>
    </xf>
    <xf numFmtId="165" fontId="6" fillId="6" borderId="35" xfId="1" applyNumberFormat="1" applyFont="1" applyFill="1" applyBorder="1" applyAlignment="1" applyProtection="1">
      <alignment horizontal="center"/>
      <protection hidden="1"/>
    </xf>
    <xf numFmtId="164" fontId="6" fillId="3" borderId="0" xfId="1" applyFont="1" applyFill="1" applyProtection="1">
      <protection hidden="1"/>
    </xf>
    <xf numFmtId="165" fontId="6" fillId="0" borderId="0" xfId="1" applyNumberFormat="1" applyFont="1" applyProtection="1">
      <protection hidden="1"/>
    </xf>
    <xf numFmtId="165" fontId="6" fillId="6" borderId="36" xfId="1" applyNumberFormat="1" applyFont="1" applyFill="1" applyBorder="1" applyAlignment="1" applyProtection="1">
      <alignment horizontal="center"/>
      <protection hidden="1"/>
    </xf>
    <xf numFmtId="165" fontId="6" fillId="6" borderId="21" xfId="1" applyNumberFormat="1" applyFont="1" applyFill="1" applyBorder="1" applyAlignment="1" applyProtection="1">
      <alignment horizontal="center"/>
      <protection hidden="1"/>
    </xf>
    <xf numFmtId="0" fontId="0" fillId="6" borderId="28" xfId="0" applyFill="1" applyBorder="1" applyProtection="1">
      <protection hidden="1"/>
    </xf>
    <xf numFmtId="165" fontId="0" fillId="6" borderId="28" xfId="1" applyNumberFormat="1" applyFont="1" applyFill="1" applyBorder="1" applyAlignment="1" applyProtection="1">
      <alignment horizontal="center"/>
      <protection hidden="1"/>
    </xf>
    <xf numFmtId="165" fontId="0" fillId="6" borderId="37" xfId="1" applyNumberFormat="1" applyFont="1" applyFill="1" applyBorder="1" applyAlignment="1" applyProtection="1">
      <alignment horizontal="center"/>
      <protection hidden="1"/>
    </xf>
    <xf numFmtId="165" fontId="6" fillId="6" borderId="38" xfId="1" applyNumberFormat="1" applyFont="1" applyFill="1" applyBorder="1" applyAlignment="1" applyProtection="1">
      <alignment horizontal="center"/>
      <protection hidden="1"/>
    </xf>
    <xf numFmtId="0" fontId="4" fillId="0" borderId="39" xfId="0" applyFont="1" applyBorder="1" applyAlignment="1" applyProtection="1">
      <alignment horizontal="center"/>
      <protection hidden="1"/>
    </xf>
    <xf numFmtId="165" fontId="0" fillId="6" borderId="40" xfId="1" applyNumberFormat="1" applyFont="1" applyFill="1" applyBorder="1" applyAlignment="1" applyProtection="1">
      <alignment horizontal="center"/>
      <protection hidden="1"/>
    </xf>
    <xf numFmtId="165" fontId="4" fillId="6" borderId="40" xfId="1" applyNumberFormat="1" applyFont="1" applyFill="1" applyBorder="1" applyAlignment="1" applyProtection="1">
      <alignment horizontal="center"/>
      <protection hidden="1"/>
    </xf>
    <xf numFmtId="165" fontId="3" fillId="6" borderId="41" xfId="1" applyNumberFormat="1" applyFont="1" applyFill="1" applyBorder="1" applyAlignment="1" applyProtection="1">
      <alignment horizontal="center"/>
      <protection hidden="1"/>
    </xf>
    <xf numFmtId="165" fontId="6" fillId="6" borderId="42" xfId="1" applyNumberFormat="1" applyFont="1" applyFill="1" applyBorder="1" applyAlignment="1" applyProtection="1">
      <alignment horizontal="center"/>
      <protection hidden="1"/>
    </xf>
    <xf numFmtId="165" fontId="6" fillId="0" borderId="0" xfId="0" applyNumberFormat="1" applyFont="1" applyProtection="1">
      <protection hidden="1"/>
    </xf>
    <xf numFmtId="0" fontId="3" fillId="0" borderId="0" xfId="0" applyFont="1" applyProtection="1">
      <protection hidden="1"/>
    </xf>
    <xf numFmtId="164" fontId="0" fillId="0" borderId="0" xfId="0" applyNumberFormat="1" applyProtection="1">
      <protection hidden="1"/>
    </xf>
    <xf numFmtId="165" fontId="9" fillId="0" borderId="0" xfId="1" applyNumberFormat="1" applyFont="1" applyProtection="1">
      <protection hidden="1"/>
    </xf>
    <xf numFmtId="164" fontId="0" fillId="0" borderId="0" xfId="1" applyFont="1" applyProtection="1">
      <protection hidden="1"/>
    </xf>
    <xf numFmtId="0" fontId="3" fillId="0" borderId="0" xfId="0" applyFont="1" applyAlignment="1" applyProtection="1">
      <alignment wrapText="1"/>
      <protection hidden="1"/>
    </xf>
    <xf numFmtId="0" fontId="0" fillId="0" borderId="0" xfId="0" applyAlignment="1" applyProtection="1">
      <alignment wrapText="1"/>
      <protection hidden="1"/>
    </xf>
    <xf numFmtId="0" fontId="0" fillId="3" borderId="0" xfId="0" applyFill="1" applyAlignment="1" applyProtection="1">
      <alignment wrapText="1"/>
      <protection hidden="1"/>
    </xf>
    <xf numFmtId="0" fontId="0" fillId="8" borderId="0" xfId="0" applyFill="1" applyAlignment="1" applyProtection="1">
      <alignment wrapText="1"/>
      <protection hidden="1"/>
    </xf>
    <xf numFmtId="0" fontId="0" fillId="9" borderId="0" xfId="0" applyFill="1" applyAlignment="1" applyProtection="1">
      <alignment wrapText="1"/>
      <protection hidden="1"/>
    </xf>
    <xf numFmtId="0" fontId="0" fillId="10" borderId="0" xfId="0" applyFill="1" applyProtection="1">
      <protection hidden="1"/>
    </xf>
    <xf numFmtId="0" fontId="0" fillId="8" borderId="0" xfId="0" applyFill="1" applyProtection="1">
      <protection hidden="1"/>
    </xf>
    <xf numFmtId="165" fontId="0" fillId="0" borderId="0" xfId="1" applyNumberFormat="1" applyFont="1" applyProtection="1">
      <protection hidden="1"/>
    </xf>
    <xf numFmtId="0" fontId="0" fillId="4" borderId="0" xfId="0" applyFill="1" applyProtection="1">
      <protection hidden="1"/>
    </xf>
    <xf numFmtId="165" fontId="0" fillId="0" borderId="0" xfId="0" applyNumberFormat="1" applyProtection="1">
      <protection hidden="1"/>
    </xf>
    <xf numFmtId="165" fontId="0" fillId="3" borderId="0" xfId="1" applyNumberFormat="1" applyFont="1" applyFill="1" applyProtection="1">
      <protection hidden="1"/>
    </xf>
    <xf numFmtId="165" fontId="0" fillId="8" borderId="0" xfId="1" applyNumberFormat="1" applyFont="1" applyFill="1" applyProtection="1">
      <protection hidden="1"/>
    </xf>
    <xf numFmtId="165" fontId="10" fillId="3" borderId="0" xfId="1" applyNumberFormat="1" applyFont="1" applyFill="1" applyProtection="1">
      <protection hidden="1"/>
    </xf>
    <xf numFmtId="165" fontId="0" fillId="3" borderId="0" xfId="0" applyNumberFormat="1" applyFill="1" applyProtection="1">
      <protection hidden="1"/>
    </xf>
    <xf numFmtId="165" fontId="6" fillId="11" borderId="0" xfId="0" applyNumberFormat="1" applyFont="1" applyFill="1" applyProtection="1">
      <protection hidden="1"/>
    </xf>
    <xf numFmtId="2" fontId="0" fillId="0" borderId="0" xfId="0" applyNumberFormat="1" applyProtection="1">
      <protection hidden="1"/>
    </xf>
    <xf numFmtId="165" fontId="3" fillId="0" borderId="0" xfId="1" applyNumberFormat="1" applyFont="1" applyProtection="1">
      <protection hidden="1"/>
    </xf>
    <xf numFmtId="165" fontId="0" fillId="0" borderId="0" xfId="1" applyNumberFormat="1" applyFont="1" applyFill="1" applyProtection="1">
      <protection hidden="1"/>
    </xf>
    <xf numFmtId="165" fontId="0" fillId="4" borderId="0" xfId="1" applyNumberFormat="1" applyFont="1" applyFill="1" applyProtection="1">
      <protection hidden="1"/>
    </xf>
    <xf numFmtId="165" fontId="3" fillId="3" borderId="0" xfId="1" applyNumberFormat="1" applyFont="1" applyFill="1" applyProtection="1">
      <protection hidden="1"/>
    </xf>
    <xf numFmtId="166" fontId="4" fillId="7" borderId="43" xfId="0" applyNumberFormat="1" applyFont="1" applyFill="1" applyBorder="1" applyAlignment="1" applyProtection="1">
      <alignment horizontal="left" vertical="center"/>
      <protection locked="0" hidden="1"/>
    </xf>
    <xf numFmtId="0" fontId="0" fillId="7" borderId="0" xfId="0" applyFill="1" applyProtection="1">
      <protection hidden="1"/>
    </xf>
    <xf numFmtId="166" fontId="4" fillId="7" borderId="43" xfId="0" applyNumberFormat="1" applyFont="1" applyFill="1" applyBorder="1" applyAlignment="1" applyProtection="1">
      <alignment horizontal="center" vertical="center"/>
      <protection locked="0"/>
    </xf>
    <xf numFmtId="0" fontId="4" fillId="0" borderId="0" xfId="0" applyFont="1" applyAlignment="1" applyProtection="1">
      <alignment horizontal="right"/>
      <protection hidden="1"/>
    </xf>
    <xf numFmtId="0" fontId="4" fillId="7" borderId="43" xfId="0" applyFont="1" applyFill="1" applyBorder="1" applyAlignment="1" applyProtection="1">
      <alignment horizontal="center" vertical="center"/>
      <protection locked="0"/>
    </xf>
    <xf numFmtId="0" fontId="0" fillId="0" borderId="0" xfId="0" applyAlignment="1" applyProtection="1">
      <alignment horizontal="center" wrapText="1"/>
      <protection hidden="1"/>
    </xf>
    <xf numFmtId="0" fontId="8" fillId="0" borderId="0" xfId="0" applyFont="1" applyProtection="1">
      <protection hidden="1"/>
    </xf>
    <xf numFmtId="0" fontId="7" fillId="4" borderId="2" xfId="0" applyFont="1" applyFill="1" applyBorder="1" applyAlignment="1" applyProtection="1">
      <alignment wrapText="1"/>
      <protection hidden="1"/>
    </xf>
    <xf numFmtId="0" fontId="7" fillId="4" borderId="3" xfId="0" applyFont="1" applyFill="1" applyBorder="1" applyAlignment="1" applyProtection="1">
      <alignment horizontal="left"/>
      <protection hidden="1"/>
    </xf>
    <xf numFmtId="0" fontId="0" fillId="0" borderId="44" xfId="0" applyBorder="1" applyAlignment="1" applyProtection="1">
      <alignment horizontal="center" wrapText="1"/>
      <protection hidden="1"/>
    </xf>
    <xf numFmtId="37" fontId="3" fillId="7" borderId="21" xfId="1" applyNumberFormat="1" applyFont="1" applyFill="1" applyBorder="1" applyProtection="1">
      <protection locked="0"/>
    </xf>
    <xf numFmtId="37" fontId="3" fillId="7" borderId="21" xfId="1" applyNumberFormat="1" applyFont="1" applyFill="1" applyBorder="1" applyAlignment="1" applyProtection="1">
      <alignment horizontal="center"/>
      <protection locked="0"/>
    </xf>
    <xf numFmtId="37" fontId="3" fillId="7" borderId="45" xfId="1" applyNumberFormat="1" applyFont="1" applyFill="1" applyBorder="1" applyAlignment="1" applyProtection="1">
      <alignment horizontal="center"/>
      <protection locked="0"/>
    </xf>
    <xf numFmtId="0" fontId="0" fillId="0" borderId="46" xfId="0" applyBorder="1" applyAlignment="1" applyProtection="1">
      <alignment horizontal="center" wrapText="1"/>
      <protection hidden="1"/>
    </xf>
    <xf numFmtId="37" fontId="3" fillId="7" borderId="47" xfId="1" applyNumberFormat="1" applyFont="1" applyFill="1" applyBorder="1" applyAlignment="1" applyProtection="1">
      <alignment horizontal="center"/>
      <protection locked="0"/>
    </xf>
    <xf numFmtId="0" fontId="11" fillId="0" borderId="0" xfId="0" applyFont="1" applyAlignment="1" applyProtection="1">
      <alignment horizontal="right"/>
      <protection hidden="1"/>
    </xf>
    <xf numFmtId="0" fontId="0" fillId="0" borderId="48" xfId="0" applyBorder="1" applyAlignment="1" applyProtection="1">
      <alignment horizontal="center"/>
      <protection hidden="1"/>
    </xf>
    <xf numFmtId="0" fontId="3" fillId="7" borderId="49" xfId="1" applyNumberFormat="1" applyFont="1" applyFill="1" applyBorder="1" applyAlignment="1" applyProtection="1">
      <alignment horizontal="center"/>
      <protection locked="0"/>
    </xf>
    <xf numFmtId="37" fontId="3" fillId="7" borderId="49" xfId="1" applyNumberFormat="1" applyFont="1" applyFill="1" applyBorder="1" applyAlignment="1" applyProtection="1">
      <alignment horizontal="center"/>
      <protection locked="0"/>
    </xf>
    <xf numFmtId="1" fontId="3" fillId="7" borderId="49" xfId="1" applyNumberFormat="1" applyFont="1" applyFill="1" applyBorder="1" applyAlignment="1" applyProtection="1">
      <alignment horizontal="center"/>
      <protection locked="0"/>
    </xf>
    <xf numFmtId="165" fontId="3" fillId="7" borderId="49" xfId="1" applyNumberFormat="1" applyFont="1" applyFill="1" applyBorder="1" applyAlignment="1" applyProtection="1">
      <alignment horizontal="center"/>
      <protection locked="0"/>
    </xf>
    <xf numFmtId="165" fontId="3" fillId="7" borderId="50" xfId="1" applyNumberFormat="1" applyFont="1" applyFill="1" applyBorder="1" applyAlignment="1" applyProtection="1">
      <alignment horizontal="center"/>
      <protection locked="0"/>
    </xf>
    <xf numFmtId="0" fontId="0" fillId="0" borderId="22" xfId="0" applyBorder="1" applyAlignment="1" applyProtection="1">
      <alignment horizontal="center"/>
      <protection hidden="1"/>
    </xf>
    <xf numFmtId="0" fontId="3" fillId="7" borderId="21" xfId="1" applyNumberFormat="1" applyFont="1" applyFill="1" applyBorder="1" applyAlignment="1" applyProtection="1">
      <alignment horizontal="center"/>
      <protection locked="0"/>
    </xf>
    <xf numFmtId="1" fontId="3" fillId="7" borderId="21" xfId="1" applyNumberFormat="1" applyFont="1" applyFill="1" applyBorder="1" applyAlignment="1" applyProtection="1">
      <alignment horizontal="center"/>
      <protection locked="0"/>
    </xf>
    <xf numFmtId="165" fontId="3" fillId="7" borderId="21" xfId="1" applyNumberFormat="1" applyFont="1" applyFill="1" applyBorder="1" applyAlignment="1" applyProtection="1">
      <alignment horizontal="center"/>
      <protection locked="0"/>
    </xf>
    <xf numFmtId="165" fontId="3" fillId="7" borderId="34" xfId="1" applyNumberFormat="1" applyFont="1" applyFill="1" applyBorder="1" applyAlignment="1" applyProtection="1">
      <alignment horizontal="center"/>
      <protection locked="0"/>
    </xf>
    <xf numFmtId="0" fontId="0" fillId="0" borderId="46" xfId="0" applyBorder="1" applyAlignment="1" applyProtection="1">
      <alignment horizontal="center"/>
      <protection hidden="1"/>
    </xf>
    <xf numFmtId="0" fontId="0" fillId="0" borderId="51" xfId="0" applyBorder="1" applyAlignment="1" applyProtection="1">
      <alignment horizontal="center"/>
      <protection hidden="1"/>
    </xf>
    <xf numFmtId="37" fontId="3" fillId="7" borderId="28" xfId="1" applyNumberFormat="1" applyFont="1" applyFill="1" applyBorder="1" applyProtection="1">
      <protection locked="0"/>
    </xf>
    <xf numFmtId="37" fontId="3" fillId="7" borderId="28" xfId="1" applyNumberFormat="1" applyFont="1" applyFill="1" applyBorder="1" applyAlignment="1" applyProtection="1">
      <alignment horizontal="center"/>
      <protection locked="0"/>
    </xf>
    <xf numFmtId="37" fontId="3" fillId="7" borderId="52" xfId="1" applyNumberFormat="1" applyFont="1" applyFill="1" applyBorder="1" applyAlignment="1" applyProtection="1">
      <alignment horizontal="center"/>
      <protection locked="0"/>
    </xf>
    <xf numFmtId="0" fontId="0" fillId="0" borderId="24" xfId="0" applyBorder="1" applyAlignment="1" applyProtection="1">
      <alignment horizontal="center"/>
      <protection hidden="1"/>
    </xf>
    <xf numFmtId="0" fontId="3" fillId="7" borderId="28" xfId="1" applyNumberFormat="1" applyFont="1" applyFill="1" applyBorder="1" applyAlignment="1" applyProtection="1">
      <alignment horizontal="center"/>
      <protection locked="0"/>
    </xf>
    <xf numFmtId="1" fontId="3" fillId="7" borderId="28" xfId="1" applyNumberFormat="1" applyFont="1" applyFill="1" applyBorder="1" applyAlignment="1" applyProtection="1">
      <alignment horizontal="center"/>
      <protection locked="0"/>
    </xf>
    <xf numFmtId="165" fontId="3" fillId="7" borderId="28" xfId="1" applyNumberFormat="1" applyFont="1" applyFill="1" applyBorder="1" applyAlignment="1" applyProtection="1">
      <alignment horizontal="center"/>
      <protection locked="0"/>
    </xf>
    <xf numFmtId="165" fontId="3" fillId="7" borderId="29" xfId="1" applyNumberFormat="1" applyFont="1" applyFill="1" applyBorder="1" applyAlignment="1" applyProtection="1">
      <alignment horizontal="center"/>
      <protection locked="0"/>
    </xf>
    <xf numFmtId="0" fontId="4" fillId="0" borderId="25" xfId="0" applyFont="1" applyBorder="1" applyProtection="1">
      <protection hidden="1"/>
    </xf>
    <xf numFmtId="0" fontId="0" fillId="0" borderId="25" xfId="0" applyBorder="1" applyProtection="1">
      <protection hidden="1"/>
    </xf>
    <xf numFmtId="0" fontId="0" fillId="0" borderId="0" xfId="0" applyAlignment="1" applyProtection="1">
      <alignment horizontal="left" indent="1"/>
      <protection hidden="1"/>
    </xf>
    <xf numFmtId="0" fontId="7" fillId="4" borderId="22" xfId="0" applyFont="1" applyFill="1" applyBorder="1" applyAlignment="1" applyProtection="1">
      <alignment horizontal="center"/>
      <protection hidden="1"/>
    </xf>
    <xf numFmtId="0" fontId="7" fillId="4" borderId="0" xfId="0" applyFont="1" applyFill="1" applyAlignment="1" applyProtection="1">
      <alignment horizontal="center"/>
      <protection hidden="1"/>
    </xf>
    <xf numFmtId="0" fontId="7" fillId="4" borderId="53" xfId="0" applyFont="1" applyFill="1" applyBorder="1" applyAlignment="1" applyProtection="1">
      <alignment horizontal="center"/>
      <protection hidden="1"/>
    </xf>
    <xf numFmtId="0" fontId="7" fillId="4" borderId="54" xfId="0" applyFont="1" applyFill="1" applyBorder="1" applyAlignment="1" applyProtection="1">
      <alignment horizontal="center"/>
      <protection hidden="1"/>
    </xf>
    <xf numFmtId="0" fontId="7" fillId="4" borderId="23" xfId="0" applyFont="1" applyFill="1" applyBorder="1" applyAlignment="1" applyProtection="1">
      <alignment horizontal="center"/>
      <protection hidden="1"/>
    </xf>
    <xf numFmtId="0" fontId="7" fillId="4" borderId="55" xfId="0" applyFont="1" applyFill="1" applyBorder="1" applyAlignment="1" applyProtection="1">
      <alignment horizontal="center"/>
      <protection hidden="1"/>
    </xf>
    <xf numFmtId="0" fontId="7" fillId="4" borderId="56" xfId="0" applyFont="1" applyFill="1" applyBorder="1" applyAlignment="1" applyProtection="1">
      <alignment horizontal="left"/>
      <protection hidden="1"/>
    </xf>
    <xf numFmtId="0" fontId="7" fillId="4" borderId="57" xfId="0" applyFont="1" applyFill="1" applyBorder="1" applyAlignment="1" applyProtection="1">
      <alignment horizontal="left"/>
      <protection hidden="1"/>
    </xf>
    <xf numFmtId="0" fontId="7" fillId="4" borderId="58" xfId="0" applyFont="1" applyFill="1" applyBorder="1" applyAlignment="1" applyProtection="1">
      <alignment horizontal="left"/>
      <protection hidden="1"/>
    </xf>
    <xf numFmtId="0" fontId="0" fillId="0" borderId="44" xfId="0" applyBorder="1" applyAlignment="1" applyProtection="1">
      <alignment horizontal="center"/>
      <protection hidden="1"/>
    </xf>
    <xf numFmtId="0" fontId="3" fillId="6" borderId="59" xfId="0" applyFont="1" applyFill="1" applyBorder="1" applyAlignment="1" applyProtection="1">
      <alignment horizontal="center"/>
      <protection hidden="1"/>
    </xf>
    <xf numFmtId="0" fontId="3" fillId="6" borderId="60" xfId="0" applyFont="1" applyFill="1" applyBorder="1" applyAlignment="1" applyProtection="1">
      <alignment horizontal="left"/>
      <protection hidden="1"/>
    </xf>
    <xf numFmtId="37" fontId="3" fillId="12" borderId="49" xfId="1" applyNumberFormat="1" applyFont="1" applyFill="1" applyBorder="1" applyProtection="1">
      <protection locked="0"/>
    </xf>
    <xf numFmtId="167" fontId="3" fillId="12" borderId="49" xfId="3" applyNumberFormat="1" applyFont="1" applyFill="1" applyBorder="1" applyProtection="1">
      <protection locked="0"/>
    </xf>
    <xf numFmtId="167" fontId="3" fillId="12" borderId="45" xfId="3" applyNumberFormat="1" applyFont="1" applyFill="1" applyBorder="1" applyProtection="1">
      <protection locked="0"/>
    </xf>
    <xf numFmtId="37" fontId="3" fillId="12" borderId="21" xfId="1" applyNumberFormat="1" applyFont="1" applyFill="1" applyBorder="1" applyProtection="1">
      <protection locked="0"/>
    </xf>
    <xf numFmtId="167" fontId="3" fillId="12" borderId="21" xfId="3" applyNumberFormat="1" applyFont="1" applyFill="1" applyBorder="1" applyProtection="1">
      <protection locked="0"/>
    </xf>
    <xf numFmtId="167" fontId="3" fillId="12" borderId="47" xfId="3" applyNumberFormat="1" applyFont="1" applyFill="1" applyBorder="1" applyProtection="1">
      <protection locked="0"/>
    </xf>
    <xf numFmtId="0" fontId="3" fillId="6" borderId="61" xfId="0" applyFont="1" applyFill="1" applyBorder="1" applyAlignment="1" applyProtection="1">
      <alignment horizontal="center"/>
      <protection hidden="1"/>
    </xf>
    <xf numFmtId="0" fontId="3" fillId="6" borderId="61" xfId="0" applyFont="1" applyFill="1" applyBorder="1" applyAlignment="1" applyProtection="1">
      <alignment horizontal="left"/>
      <protection hidden="1"/>
    </xf>
    <xf numFmtId="37" fontId="3" fillId="12" borderId="28" xfId="1" applyNumberFormat="1" applyFont="1" applyFill="1" applyBorder="1" applyProtection="1">
      <protection locked="0"/>
    </xf>
    <xf numFmtId="167" fontId="3" fillId="12" borderId="28" xfId="3" applyNumberFormat="1" applyFont="1" applyFill="1" applyBorder="1" applyProtection="1">
      <protection locked="0"/>
    </xf>
    <xf numFmtId="167" fontId="3" fillId="12" borderId="52" xfId="3" applyNumberFormat="1" applyFont="1" applyFill="1" applyBorder="1" applyProtection="1">
      <protection locked="0"/>
    </xf>
    <xf numFmtId="0" fontId="6" fillId="0" borderId="25" xfId="0" applyFont="1" applyBorder="1" applyProtection="1">
      <protection hidden="1"/>
    </xf>
    <xf numFmtId="0" fontId="3" fillId="6" borderId="62" xfId="0" applyFont="1" applyFill="1" applyBorder="1" applyAlignment="1" applyProtection="1">
      <alignment horizontal="center"/>
      <protection hidden="1"/>
    </xf>
    <xf numFmtId="0" fontId="3" fillId="0" borderId="63" xfId="0" applyFont="1" applyBorder="1" applyProtection="1">
      <protection hidden="1"/>
    </xf>
    <xf numFmtId="0" fontId="3" fillId="0" borderId="64" xfId="0" applyFont="1" applyBorder="1" applyProtection="1">
      <protection hidden="1"/>
    </xf>
    <xf numFmtId="0" fontId="3" fillId="0" borderId="65" xfId="0" applyFont="1" applyBorder="1" applyProtection="1">
      <protection hidden="1"/>
    </xf>
    <xf numFmtId="0" fontId="3" fillId="0" borderId="66" xfId="0" applyFont="1" applyBorder="1" applyProtection="1">
      <protection hidden="1"/>
    </xf>
    <xf numFmtId="0" fontId="3" fillId="0" borderId="67" xfId="0" applyFont="1" applyBorder="1" applyProtection="1">
      <protection hidden="1"/>
    </xf>
    <xf numFmtId="0" fontId="3" fillId="0" borderId="68" xfId="0" applyFont="1" applyBorder="1" applyProtection="1">
      <protection hidden="1"/>
    </xf>
    <xf numFmtId="0" fontId="3" fillId="0" borderId="56" xfId="0" applyFont="1" applyBorder="1" applyProtection="1">
      <protection hidden="1"/>
    </xf>
    <xf numFmtId="0" fontId="3" fillId="0" borderId="69" xfId="0" applyFont="1" applyBorder="1" applyProtection="1">
      <protection hidden="1"/>
    </xf>
    <xf numFmtId="167" fontId="3" fillId="0" borderId="0" xfId="3" applyNumberFormat="1" applyFont="1" applyProtection="1">
      <protection hidden="1"/>
    </xf>
    <xf numFmtId="0" fontId="12" fillId="0" borderId="0" xfId="0" quotePrefix="1" applyFont="1" applyAlignment="1">
      <alignment horizontal="left" vertical="center" indent="2"/>
    </xf>
    <xf numFmtId="0" fontId="12" fillId="0" borderId="0" xfId="0" quotePrefix="1" applyFont="1" applyAlignment="1">
      <alignment vertical="center"/>
    </xf>
    <xf numFmtId="0" fontId="0" fillId="0" borderId="56" xfId="0" applyBorder="1" applyProtection="1">
      <protection hidden="1"/>
    </xf>
    <xf numFmtId="37" fontId="3" fillId="7" borderId="49" xfId="1" applyNumberFormat="1" applyFont="1" applyFill="1" applyBorder="1" applyProtection="1">
      <protection locked="0"/>
    </xf>
    <xf numFmtId="10" fontId="3" fillId="7" borderId="49" xfId="3" applyNumberFormat="1" applyFont="1" applyFill="1" applyBorder="1" applyAlignment="1" applyProtection="1">
      <alignment horizontal="center"/>
      <protection locked="0"/>
    </xf>
    <xf numFmtId="168" fontId="3" fillId="7" borderId="49" xfId="1" applyNumberFormat="1" applyFont="1" applyFill="1" applyBorder="1" applyAlignment="1" applyProtection="1">
      <alignment horizontal="center"/>
      <protection locked="0"/>
    </xf>
    <xf numFmtId="37" fontId="3" fillId="7" borderId="33" xfId="1" applyNumberFormat="1" applyFont="1" applyFill="1" applyBorder="1" applyAlignment="1" applyProtection="1">
      <alignment horizontal="center"/>
      <protection locked="0"/>
    </xf>
    <xf numFmtId="10" fontId="3" fillId="7" borderId="49" xfId="3" applyNumberFormat="1" applyFont="1" applyFill="1" applyBorder="1" applyProtection="1">
      <protection locked="0"/>
    </xf>
    <xf numFmtId="165" fontId="3" fillId="7" borderId="49" xfId="1" applyNumberFormat="1" applyFont="1" applyFill="1" applyBorder="1" applyProtection="1">
      <protection locked="0"/>
    </xf>
    <xf numFmtId="165" fontId="3" fillId="7" borderId="49" xfId="1" applyNumberFormat="1" applyFont="1" applyFill="1" applyBorder="1" applyAlignment="1" applyProtection="1">
      <alignment horizontal="center" vertical="center"/>
      <protection locked="0"/>
    </xf>
    <xf numFmtId="0" fontId="0" fillId="7" borderId="23" xfId="0" applyFill="1" applyBorder="1" applyAlignment="1" applyProtection="1">
      <alignment horizontal="center" vertical="center"/>
      <protection locked="0" hidden="1"/>
    </xf>
    <xf numFmtId="10" fontId="3" fillId="7" borderId="21" xfId="3" applyNumberFormat="1" applyFont="1" applyFill="1" applyBorder="1" applyAlignment="1" applyProtection="1">
      <alignment horizontal="center"/>
      <protection locked="0"/>
    </xf>
    <xf numFmtId="168" fontId="3" fillId="7" borderId="21" xfId="1" applyNumberFormat="1" applyFont="1" applyFill="1" applyBorder="1" applyAlignment="1" applyProtection="1">
      <alignment horizontal="center"/>
      <protection locked="0"/>
    </xf>
    <xf numFmtId="10" fontId="3" fillId="7" borderId="21" xfId="3" applyNumberFormat="1" applyFont="1" applyFill="1" applyBorder="1" applyProtection="1">
      <protection locked="0"/>
    </xf>
    <xf numFmtId="165" fontId="3" fillId="7" borderId="21" xfId="1" applyNumberFormat="1" applyFont="1" applyFill="1" applyBorder="1" applyProtection="1">
      <protection locked="0"/>
    </xf>
    <xf numFmtId="165" fontId="3" fillId="7" borderId="21" xfId="1" applyNumberFormat="1" applyFont="1" applyFill="1" applyBorder="1" applyAlignment="1" applyProtection="1">
      <alignment horizontal="center" vertical="center"/>
      <protection locked="0"/>
    </xf>
    <xf numFmtId="37" fontId="3" fillId="7" borderId="28" xfId="1" applyNumberFormat="1" applyFont="1" applyFill="1" applyBorder="1" applyAlignment="1" applyProtection="1">
      <alignment horizontal="left" wrapText="1"/>
      <protection locked="0"/>
    </xf>
    <xf numFmtId="10" fontId="3" fillId="7" borderId="28" xfId="3" applyNumberFormat="1" applyFont="1" applyFill="1" applyBorder="1" applyAlignment="1" applyProtection="1">
      <alignment horizontal="center"/>
      <protection locked="0"/>
    </xf>
    <xf numFmtId="168" fontId="3" fillId="7" borderId="28" xfId="1" applyNumberFormat="1" applyFont="1" applyFill="1" applyBorder="1" applyAlignment="1" applyProtection="1">
      <alignment horizontal="center"/>
      <protection locked="0"/>
    </xf>
    <xf numFmtId="37" fontId="3" fillId="7" borderId="37" xfId="1" applyNumberFormat="1" applyFont="1" applyFill="1" applyBorder="1" applyAlignment="1" applyProtection="1">
      <alignment horizontal="center"/>
      <protection locked="0"/>
    </xf>
    <xf numFmtId="0" fontId="7" fillId="4" borderId="6" xfId="0" applyFont="1" applyFill="1" applyBorder="1" applyAlignment="1" applyProtection="1">
      <alignment horizontal="center" wrapText="1"/>
      <protection hidden="1"/>
    </xf>
    <xf numFmtId="164" fontId="3" fillId="0" borderId="0" xfId="1" applyFont="1" applyProtection="1">
      <protection hidden="1"/>
    </xf>
    <xf numFmtId="43" fontId="0" fillId="0" borderId="0" xfId="0" applyNumberFormat="1" applyProtection="1">
      <protection hidden="1"/>
    </xf>
    <xf numFmtId="0" fontId="7" fillId="4" borderId="56" xfId="0" applyFont="1" applyFill="1" applyBorder="1" applyAlignment="1" applyProtection="1">
      <alignment horizontal="center" wrapText="1"/>
      <protection hidden="1"/>
    </xf>
    <xf numFmtId="0" fontId="7" fillId="4" borderId="56" xfId="0" applyFont="1" applyFill="1" applyBorder="1" applyAlignment="1" applyProtection="1">
      <alignment horizontal="center"/>
      <protection hidden="1"/>
    </xf>
    <xf numFmtId="0" fontId="7" fillId="4" borderId="58" xfId="0" applyFont="1" applyFill="1" applyBorder="1" applyAlignment="1" applyProtection="1">
      <alignment horizontal="center"/>
      <protection hidden="1"/>
    </xf>
    <xf numFmtId="164" fontId="0" fillId="0" borderId="0" xfId="1" applyFont="1" applyBorder="1" applyProtection="1">
      <protection hidden="1"/>
    </xf>
    <xf numFmtId="0" fontId="0" fillId="0" borderId="70" xfId="0" applyBorder="1" applyAlignment="1" applyProtection="1">
      <alignment horizontal="center"/>
      <protection hidden="1"/>
    </xf>
    <xf numFmtId="0" fontId="0" fillId="0" borderId="21" xfId="0" applyBorder="1" applyAlignment="1" applyProtection="1">
      <alignment wrapText="1"/>
      <protection hidden="1"/>
    </xf>
    <xf numFmtId="0" fontId="0" fillId="0" borderId="49" xfId="0" applyBorder="1" applyProtection="1">
      <protection locked="0" hidden="1"/>
    </xf>
    <xf numFmtId="167" fontId="3" fillId="7" borderId="21" xfId="3" applyNumberFormat="1" applyFont="1" applyFill="1" applyBorder="1" applyAlignment="1" applyProtection="1">
      <alignment horizontal="center"/>
      <protection locked="0"/>
    </xf>
    <xf numFmtId="167" fontId="3" fillId="7" borderId="45" xfId="3" applyNumberFormat="1" applyFont="1" applyFill="1" applyBorder="1" applyAlignment="1" applyProtection="1">
      <alignment horizontal="center"/>
      <protection locked="0"/>
    </xf>
    <xf numFmtId="169" fontId="0" fillId="0" borderId="0" xfId="1" applyNumberFormat="1" applyFont="1" applyBorder="1" applyProtection="1">
      <protection hidden="1"/>
    </xf>
    <xf numFmtId="0" fontId="0" fillId="0" borderId="20" xfId="0" applyBorder="1" applyAlignment="1" applyProtection="1">
      <alignment horizontal="center"/>
      <protection hidden="1"/>
    </xf>
    <xf numFmtId="0" fontId="0" fillId="0" borderId="21" xfId="0" applyBorder="1" applyProtection="1">
      <protection locked="0" hidden="1"/>
    </xf>
    <xf numFmtId="167" fontId="3" fillId="7" borderId="47" xfId="3" applyNumberFormat="1" applyFont="1" applyFill="1" applyBorder="1" applyAlignment="1" applyProtection="1">
      <alignment horizontal="center"/>
      <protection locked="0"/>
    </xf>
    <xf numFmtId="169" fontId="0" fillId="0" borderId="0" xfId="1" applyNumberFormat="1" applyFont="1" applyProtection="1">
      <protection hidden="1"/>
    </xf>
    <xf numFmtId="169" fontId="0" fillId="0" borderId="0" xfId="0" applyNumberFormat="1" applyProtection="1">
      <protection hidden="1"/>
    </xf>
    <xf numFmtId="37" fontId="0" fillId="0" borderId="0" xfId="0" applyNumberFormat="1" applyProtection="1">
      <protection hidden="1"/>
    </xf>
    <xf numFmtId="0" fontId="0" fillId="0" borderId="21" xfId="0" applyBorder="1" applyProtection="1">
      <protection hidden="1"/>
    </xf>
    <xf numFmtId="0" fontId="0" fillId="0" borderId="27" xfId="0" applyBorder="1" applyAlignment="1" applyProtection="1">
      <alignment horizontal="center"/>
      <protection hidden="1"/>
    </xf>
    <xf numFmtId="0" fontId="0" fillId="0" borderId="28" xfId="0" applyBorder="1" applyProtection="1">
      <protection hidden="1"/>
    </xf>
    <xf numFmtId="0" fontId="0" fillId="0" borderId="28" xfId="0" applyBorder="1" applyProtection="1">
      <protection locked="0" hidden="1"/>
    </xf>
    <xf numFmtId="167" fontId="3" fillId="7" borderId="52" xfId="3" applyNumberFormat="1" applyFont="1" applyFill="1" applyBorder="1" applyAlignment="1" applyProtection="1">
      <alignment horizontal="center"/>
      <protection locked="0"/>
    </xf>
    <xf numFmtId="10" fontId="3" fillId="7" borderId="28" xfId="3" applyNumberFormat="1" applyFont="1" applyFill="1" applyBorder="1" applyProtection="1">
      <protection locked="0"/>
    </xf>
    <xf numFmtId="165" fontId="3" fillId="7" borderId="28" xfId="1" applyNumberFormat="1" applyFont="1" applyFill="1" applyBorder="1" applyProtection="1">
      <protection locked="0"/>
    </xf>
    <xf numFmtId="165" fontId="3" fillId="3" borderId="28" xfId="1" applyNumberFormat="1" applyFont="1"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hidden="1"/>
    </xf>
    <xf numFmtId="167" fontId="0" fillId="0" borderId="39" xfId="3" applyNumberFormat="1" applyFont="1" applyBorder="1" applyProtection="1">
      <protection hidden="1"/>
    </xf>
    <xf numFmtId="167" fontId="0" fillId="0" borderId="40" xfId="3" applyNumberFormat="1" applyFont="1" applyBorder="1" applyProtection="1">
      <protection hidden="1"/>
    </xf>
    <xf numFmtId="167" fontId="0" fillId="0" borderId="41" xfId="3" applyNumberFormat="1" applyFont="1" applyBorder="1" applyProtection="1">
      <protection hidden="1"/>
    </xf>
    <xf numFmtId="0" fontId="0" fillId="0" borderId="0" xfId="0" applyAlignment="1" applyProtection="1">
      <alignment horizontal="right"/>
      <protection hidden="1"/>
    </xf>
    <xf numFmtId="0" fontId="7" fillId="13" borderId="6" xfId="0" applyFont="1" applyFill="1" applyBorder="1" applyAlignment="1" applyProtection="1">
      <alignment horizontal="center"/>
      <protection hidden="1"/>
    </xf>
    <xf numFmtId="0" fontId="7" fillId="13" borderId="8" xfId="0" applyFont="1" applyFill="1" applyBorder="1" applyAlignment="1" applyProtection="1">
      <alignment horizontal="center"/>
      <protection hidden="1"/>
    </xf>
    <xf numFmtId="0" fontId="7" fillId="13" borderId="56" xfId="0" applyFont="1" applyFill="1" applyBorder="1" applyAlignment="1" applyProtection="1">
      <alignment horizontal="center"/>
      <protection hidden="1"/>
    </xf>
    <xf numFmtId="0" fontId="7" fillId="13" borderId="58" xfId="0" applyFont="1" applyFill="1" applyBorder="1" applyAlignment="1" applyProtection="1">
      <alignment horizontal="center"/>
      <protection hidden="1"/>
    </xf>
    <xf numFmtId="0" fontId="0" fillId="6" borderId="70" xfId="0" applyFill="1" applyBorder="1" applyAlignment="1" applyProtection="1">
      <alignment horizontal="center"/>
      <protection hidden="1"/>
    </xf>
    <xf numFmtId="0" fontId="0" fillId="6" borderId="49" xfId="0" applyFill="1" applyBorder="1" applyProtection="1">
      <protection hidden="1"/>
    </xf>
    <xf numFmtId="0" fontId="0" fillId="6" borderId="49" xfId="0" applyFill="1" applyBorder="1" applyProtection="1">
      <protection locked="0" hidden="1"/>
    </xf>
    <xf numFmtId="167" fontId="3" fillId="7" borderId="21" xfId="3" applyNumberFormat="1" applyFont="1" applyFill="1" applyBorder="1" applyProtection="1">
      <protection locked="0"/>
    </xf>
    <xf numFmtId="167" fontId="3" fillId="7" borderId="47" xfId="3" applyNumberFormat="1" applyFont="1" applyFill="1" applyBorder="1" applyProtection="1">
      <protection locked="0"/>
    </xf>
    <xf numFmtId="0" fontId="0" fillId="6" borderId="21" xfId="0" applyFill="1" applyBorder="1" applyProtection="1">
      <protection locked="0" hidden="1"/>
    </xf>
    <xf numFmtId="0" fontId="0" fillId="6" borderId="28" xfId="0" applyFill="1" applyBorder="1" applyProtection="1">
      <protection locked="0" hidden="1"/>
    </xf>
    <xf numFmtId="167" fontId="3" fillId="7" borderId="28" xfId="3" applyNumberFormat="1" applyFont="1" applyFill="1" applyBorder="1" applyProtection="1">
      <protection locked="0"/>
    </xf>
    <xf numFmtId="167" fontId="3" fillId="7" borderId="52" xfId="3" applyNumberFormat="1" applyFont="1" applyFill="1" applyBorder="1" applyProtection="1">
      <protection locked="0"/>
    </xf>
    <xf numFmtId="0" fontId="0" fillId="0" borderId="6" xfId="0" applyBorder="1" applyAlignment="1" applyProtection="1">
      <alignment horizontal="right"/>
      <protection hidden="1"/>
    </xf>
    <xf numFmtId="170" fontId="6" fillId="0" borderId="0" xfId="0" applyNumberFormat="1" applyFont="1" applyProtection="1">
      <protection hidden="1"/>
    </xf>
    <xf numFmtId="165" fontId="3" fillId="0" borderId="0" xfId="0" applyNumberFormat="1" applyFont="1" applyProtection="1">
      <protection hidden="1"/>
    </xf>
    <xf numFmtId="9" fontId="3" fillId="0" borderId="0" xfId="3" applyFont="1" applyFill="1" applyProtection="1">
      <protection hidden="1"/>
    </xf>
    <xf numFmtId="169" fontId="0" fillId="0" borderId="0" xfId="1" applyNumberFormat="1" applyFont="1" applyFill="1" applyProtection="1">
      <protection hidden="1"/>
    </xf>
    <xf numFmtId="170" fontId="0" fillId="0" borderId="0" xfId="0" applyNumberFormat="1" applyProtection="1">
      <protection hidden="1"/>
    </xf>
    <xf numFmtId="171" fontId="0" fillId="0" borderId="0" xfId="0" applyNumberFormat="1" applyProtection="1">
      <protection hidden="1"/>
    </xf>
    <xf numFmtId="0" fontId="3" fillId="8" borderId="0" xfId="0" applyFont="1" applyFill="1" applyProtection="1">
      <protection hidden="1"/>
    </xf>
    <xf numFmtId="169" fontId="0" fillId="8" borderId="0" xfId="1" applyNumberFormat="1" applyFont="1" applyFill="1" applyProtection="1">
      <protection hidden="1"/>
    </xf>
    <xf numFmtId="0" fontId="3" fillId="11" borderId="0" xfId="0" applyFont="1" applyFill="1" applyProtection="1">
      <protection hidden="1"/>
    </xf>
    <xf numFmtId="165" fontId="0" fillId="11" borderId="0" xfId="1" applyNumberFormat="1" applyFont="1" applyFill="1" applyProtection="1">
      <protection hidden="1"/>
    </xf>
    <xf numFmtId="0" fontId="0" fillId="11" borderId="0" xfId="0" applyFill="1" applyProtection="1">
      <protection hidden="1"/>
    </xf>
    <xf numFmtId="0" fontId="0" fillId="14" borderId="0" xfId="0" applyFill="1" applyProtection="1">
      <protection hidden="1"/>
    </xf>
    <xf numFmtId="165" fontId="0" fillId="0" borderId="56" xfId="1" applyNumberFormat="1" applyFont="1" applyBorder="1" applyProtection="1">
      <protection hidden="1"/>
    </xf>
    <xf numFmtId="169" fontId="3" fillId="8" borderId="0" xfId="1" applyNumberFormat="1" applyFont="1" applyFill="1" applyAlignment="1" applyProtection="1">
      <alignment horizontal="right"/>
      <protection hidden="1"/>
    </xf>
    <xf numFmtId="169" fontId="0" fillId="15" borderId="0" xfId="1" applyNumberFormat="1" applyFont="1" applyFill="1" applyProtection="1">
      <protection hidden="1"/>
    </xf>
    <xf numFmtId="169" fontId="0" fillId="16" borderId="0" xfId="1" applyNumberFormat="1" applyFont="1" applyFill="1" applyProtection="1">
      <protection hidden="1"/>
    </xf>
    <xf numFmtId="0" fontId="0" fillId="8" borderId="0" xfId="0" applyFill="1" applyAlignment="1" applyProtection="1">
      <alignment horizontal="right"/>
      <protection hidden="1"/>
    </xf>
    <xf numFmtId="0" fontId="7" fillId="4" borderId="2" xfId="0" applyFont="1" applyFill="1" applyBorder="1" applyProtection="1">
      <protection hidden="1"/>
    </xf>
    <xf numFmtId="164" fontId="7" fillId="4" borderId="3" xfId="1" applyFont="1" applyFill="1" applyBorder="1" applyProtection="1">
      <protection hidden="1"/>
    </xf>
    <xf numFmtId="164" fontId="7" fillId="4" borderId="4" xfId="1" applyFont="1" applyFill="1" applyBorder="1" applyProtection="1">
      <protection hidden="1"/>
    </xf>
    <xf numFmtId="0" fontId="7" fillId="4" borderId="5" xfId="0" applyFont="1" applyFill="1" applyBorder="1" applyProtection="1">
      <protection hidden="1"/>
    </xf>
    <xf numFmtId="0" fontId="7" fillId="4" borderId="6" xfId="0" applyFont="1" applyFill="1" applyBorder="1" applyProtection="1">
      <protection hidden="1"/>
    </xf>
    <xf numFmtId="0" fontId="7" fillId="4" borderId="71" xfId="0" applyFont="1" applyFill="1" applyBorder="1" applyAlignment="1" applyProtection="1">
      <alignment horizontal="center"/>
      <protection hidden="1"/>
    </xf>
    <xf numFmtId="0" fontId="3" fillId="7" borderId="49" xfId="0" applyFont="1" applyFill="1" applyBorder="1" applyProtection="1">
      <protection locked="0"/>
    </xf>
    <xf numFmtId="165" fontId="0" fillId="7" borderId="49" xfId="1" applyNumberFormat="1" applyFont="1" applyFill="1" applyBorder="1" applyProtection="1">
      <protection locked="0"/>
    </xf>
    <xf numFmtId="165" fontId="0" fillId="0" borderId="23" xfId="1" applyNumberFormat="1" applyFont="1" applyBorder="1" applyProtection="1">
      <protection hidden="1"/>
    </xf>
    <xf numFmtId="0" fontId="7" fillId="4" borderId="56" xfId="0" applyFont="1" applyFill="1" applyBorder="1" applyProtection="1">
      <protection hidden="1"/>
    </xf>
    <xf numFmtId="14" fontId="7" fillId="4" borderId="56" xfId="0" applyNumberFormat="1" applyFont="1" applyFill="1" applyBorder="1" applyAlignment="1" applyProtection="1">
      <alignment horizontal="center"/>
      <protection hidden="1"/>
    </xf>
    <xf numFmtId="14" fontId="7" fillId="4" borderId="57" xfId="0" applyNumberFormat="1" applyFont="1" applyFill="1" applyBorder="1" applyAlignment="1" applyProtection="1">
      <alignment horizontal="center"/>
      <protection hidden="1"/>
    </xf>
    <xf numFmtId="0" fontId="3" fillId="7" borderId="21" xfId="0" applyFont="1" applyFill="1" applyBorder="1" applyProtection="1">
      <protection locked="0"/>
    </xf>
    <xf numFmtId="165" fontId="0" fillId="7" borderId="21" xfId="1" applyNumberFormat="1" applyFont="1" applyFill="1" applyBorder="1" applyProtection="1">
      <protection locked="0"/>
    </xf>
    <xf numFmtId="0" fontId="0" fillId="6" borderId="49" xfId="0" applyFill="1" applyBorder="1" applyAlignment="1" applyProtection="1">
      <alignment horizontal="center"/>
      <protection hidden="1"/>
    </xf>
    <xf numFmtId="165" fontId="0" fillId="7" borderId="45" xfId="1" applyNumberFormat="1" applyFont="1" applyFill="1" applyBorder="1" applyProtection="1">
      <protection locked="0"/>
    </xf>
    <xf numFmtId="165" fontId="0" fillId="7" borderId="47" xfId="1" applyNumberFormat="1" applyFont="1" applyFill="1" applyBorder="1" applyProtection="1">
      <protection locked="0"/>
    </xf>
    <xf numFmtId="0" fontId="3" fillId="7" borderId="21" xfId="0" applyFont="1" applyFill="1" applyBorder="1" applyAlignment="1" applyProtection="1">
      <alignment horizontal="left" wrapText="1"/>
      <protection locked="0"/>
    </xf>
    <xf numFmtId="165" fontId="0" fillId="7" borderId="28" xfId="1" applyNumberFormat="1" applyFont="1" applyFill="1" applyBorder="1" applyProtection="1">
      <protection locked="0"/>
    </xf>
    <xf numFmtId="165" fontId="0" fillId="7" borderId="52" xfId="1" applyNumberFormat="1" applyFont="1" applyFill="1" applyBorder="1" applyProtection="1">
      <protection locked="0"/>
    </xf>
    <xf numFmtId="0" fontId="0" fillId="7" borderId="21" xfId="0" applyFill="1" applyBorder="1" applyAlignment="1" applyProtection="1">
      <alignment wrapText="1"/>
      <protection locked="0"/>
    </xf>
    <xf numFmtId="0" fontId="0" fillId="7" borderId="28" xfId="0" applyFill="1" applyBorder="1" applyAlignment="1" applyProtection="1">
      <alignment wrapText="1"/>
      <protection locked="0"/>
    </xf>
    <xf numFmtId="165" fontId="0" fillId="0" borderId="72" xfId="1" applyNumberFormat="1" applyFont="1" applyBorder="1" applyProtection="1">
      <protection hidden="1"/>
    </xf>
    <xf numFmtId="0" fontId="0" fillId="0" borderId="0" xfId="0" applyAlignment="1" applyProtection="1">
      <alignment horizontal="center"/>
      <protection hidden="1"/>
    </xf>
    <xf numFmtId="0" fontId="12" fillId="0" borderId="0" xfId="0" applyFont="1"/>
    <xf numFmtId="164" fontId="0" fillId="0" borderId="0" xfId="1" applyFont="1" applyFill="1" applyBorder="1" applyProtection="1">
      <protection hidden="1"/>
    </xf>
    <xf numFmtId="0" fontId="7" fillId="4" borderId="6" xfId="0" applyFont="1" applyFill="1" applyBorder="1" applyAlignment="1" applyProtection="1">
      <alignment wrapText="1"/>
      <protection hidden="1"/>
    </xf>
    <xf numFmtId="0" fontId="7" fillId="13" borderId="6" xfId="0" applyFont="1" applyFill="1" applyBorder="1" applyProtection="1">
      <protection hidden="1"/>
    </xf>
    <xf numFmtId="0" fontId="7" fillId="13" borderId="8" xfId="0" applyFont="1" applyFill="1" applyBorder="1" applyProtection="1">
      <protection hidden="1"/>
    </xf>
    <xf numFmtId="0" fontId="7" fillId="4" borderId="55" xfId="0" applyFont="1" applyFill="1" applyBorder="1" applyProtection="1">
      <protection hidden="1"/>
    </xf>
    <xf numFmtId="0" fontId="7" fillId="4" borderId="56" xfId="0" applyFont="1" applyFill="1" applyBorder="1" applyAlignment="1" applyProtection="1">
      <alignment wrapText="1"/>
      <protection hidden="1"/>
    </xf>
    <xf numFmtId="0" fontId="7" fillId="13" borderId="56" xfId="0" applyFont="1" applyFill="1" applyBorder="1" applyProtection="1">
      <protection hidden="1"/>
    </xf>
    <xf numFmtId="0" fontId="7" fillId="13" borderId="58" xfId="0" applyFont="1" applyFill="1" applyBorder="1" applyProtection="1">
      <protection hidden="1"/>
    </xf>
    <xf numFmtId="0" fontId="0" fillId="6" borderId="49" xfId="0" applyFill="1" applyBorder="1" applyAlignment="1" applyProtection="1">
      <alignment wrapText="1"/>
      <protection hidden="1"/>
    </xf>
    <xf numFmtId="167" fontId="10" fillId="7" borderId="49" xfId="3" applyNumberFormat="1" applyFont="1" applyFill="1" applyBorder="1" applyProtection="1">
      <protection locked="0"/>
    </xf>
    <xf numFmtId="167" fontId="10" fillId="7" borderId="45" xfId="3" applyNumberFormat="1" applyFont="1" applyFill="1" applyBorder="1" applyProtection="1">
      <protection locked="0"/>
    </xf>
    <xf numFmtId="167" fontId="10" fillId="7" borderId="21" xfId="3" applyNumberFormat="1" applyFont="1" applyFill="1" applyBorder="1" applyProtection="1">
      <protection locked="0"/>
    </xf>
    <xf numFmtId="167" fontId="10" fillId="7" borderId="47" xfId="3" applyNumberFormat="1" applyFont="1" applyFill="1" applyBorder="1" applyProtection="1">
      <protection locked="0"/>
    </xf>
    <xf numFmtId="167" fontId="10" fillId="7" borderId="28" xfId="3" applyNumberFormat="1" applyFont="1" applyFill="1" applyBorder="1" applyProtection="1">
      <protection locked="0"/>
    </xf>
    <xf numFmtId="167" fontId="10" fillId="7" borderId="52" xfId="3" applyNumberFormat="1" applyFont="1" applyFill="1" applyBorder="1" applyProtection="1">
      <protection locked="0"/>
    </xf>
    <xf numFmtId="0" fontId="7" fillId="4" borderId="4" xfId="0" applyFont="1" applyFill="1" applyBorder="1" applyProtection="1">
      <protection hidden="1"/>
    </xf>
    <xf numFmtId="164" fontId="3" fillId="8" borderId="0" xfId="1" applyFont="1" applyFill="1" applyBorder="1" applyProtection="1">
      <protection hidden="1"/>
    </xf>
    <xf numFmtId="0" fontId="13" fillId="7" borderId="73" xfId="0" applyFont="1" applyFill="1" applyBorder="1" applyAlignment="1" applyProtection="1">
      <alignment horizontal="left" vertical="center" indent="2"/>
      <protection hidden="1"/>
    </xf>
    <xf numFmtId="0" fontId="3" fillId="7" borderId="74" xfId="0" applyFont="1" applyFill="1" applyBorder="1" applyProtection="1">
      <protection hidden="1"/>
    </xf>
    <xf numFmtId="0" fontId="3" fillId="7" borderId="75" xfId="0" applyFont="1" applyFill="1" applyBorder="1" applyProtection="1">
      <protection hidden="1"/>
    </xf>
    <xf numFmtId="0" fontId="3" fillId="0" borderId="0" xfId="0" applyFont="1" applyAlignment="1" applyProtection="1">
      <alignment horizontal="center"/>
      <protection hidden="1"/>
    </xf>
    <xf numFmtId="9" fontId="3" fillId="0" borderId="0" xfId="3" applyFont="1" applyFill="1" applyAlignment="1" applyProtection="1">
      <alignment horizontal="center"/>
      <protection hidden="1"/>
    </xf>
    <xf numFmtId="0" fontId="3" fillId="17" borderId="0" xfId="0" applyFont="1" applyFill="1" applyAlignment="1" applyProtection="1">
      <alignment horizontal="center"/>
      <protection hidden="1"/>
    </xf>
    <xf numFmtId="9" fontId="3" fillId="17" borderId="0" xfId="3" applyFont="1" applyFill="1" applyAlignment="1" applyProtection="1">
      <alignment horizontal="center"/>
      <protection hidden="1"/>
    </xf>
    <xf numFmtId="0" fontId="15" fillId="0" borderId="0" xfId="0" applyFont="1" applyAlignment="1" applyProtection="1">
      <alignment horizontal="right" vertical="center" indent="1"/>
      <protection hidden="1"/>
    </xf>
    <xf numFmtId="0" fontId="3" fillId="19" borderId="0" xfId="0" applyFont="1" applyFill="1" applyProtection="1">
      <protection hidden="1"/>
    </xf>
    <xf numFmtId="0" fontId="4" fillId="0" borderId="0" xfId="0" applyFont="1" applyAlignment="1" applyProtection="1">
      <alignment vertical="center"/>
      <protection hidden="1"/>
    </xf>
    <xf numFmtId="0" fontId="3" fillId="0" borderId="0" xfId="0" applyFont="1" applyAlignment="1" applyProtection="1">
      <alignment horizontal="center" vertical="center" wrapText="1"/>
      <protection hidden="1"/>
    </xf>
    <xf numFmtId="9" fontId="3" fillId="0" borderId="0" xfId="3" applyFont="1" applyFill="1" applyBorder="1" applyAlignment="1" applyProtection="1">
      <alignment horizontal="center" vertical="center" wrapText="1"/>
      <protection hidden="1"/>
    </xf>
    <xf numFmtId="0" fontId="4" fillId="0" borderId="0" xfId="0" applyFont="1" applyAlignment="1" applyProtection="1">
      <alignment horizontal="left" vertical="center" indent="1"/>
      <protection hidden="1"/>
    </xf>
    <xf numFmtId="0" fontId="4" fillId="0" borderId="0" xfId="0" applyFont="1" applyAlignment="1" applyProtection="1">
      <alignment horizontal="left" vertical="center" wrapText="1"/>
      <protection hidden="1"/>
    </xf>
    <xf numFmtId="0" fontId="4" fillId="19" borderId="0" xfId="0" applyFont="1" applyFill="1" applyAlignment="1" applyProtection="1">
      <alignment horizontal="left" vertical="center" wrapText="1"/>
      <protection hidden="1"/>
    </xf>
    <xf numFmtId="0" fontId="3" fillId="6" borderId="73" xfId="0" applyFont="1" applyFill="1" applyBorder="1" applyAlignment="1" applyProtection="1">
      <alignment vertical="center"/>
      <protection hidden="1"/>
    </xf>
    <xf numFmtId="0" fontId="3" fillId="19" borderId="0" xfId="0" applyFont="1" applyFill="1" applyAlignment="1" applyProtection="1">
      <alignment vertical="center"/>
      <protection hidden="1"/>
    </xf>
    <xf numFmtId="0" fontId="3" fillId="17" borderId="0" xfId="0" applyFont="1" applyFill="1" applyAlignment="1" applyProtection="1">
      <alignment vertical="center"/>
      <protection hidden="1"/>
    </xf>
    <xf numFmtId="0" fontId="3" fillId="0" borderId="0" xfId="0" applyFont="1" applyAlignment="1" applyProtection="1">
      <alignment vertical="center"/>
      <protection hidden="1"/>
    </xf>
    <xf numFmtId="0" fontId="4" fillId="19" borderId="0" xfId="0" applyFont="1" applyFill="1" applyAlignment="1" applyProtection="1">
      <alignment horizontal="left" vertical="center" indent="1"/>
      <protection hidden="1"/>
    </xf>
    <xf numFmtId="0" fontId="4" fillId="19" borderId="0" xfId="0" applyFont="1" applyFill="1" applyAlignment="1" applyProtection="1">
      <alignment vertical="center"/>
      <protection hidden="1"/>
    </xf>
    <xf numFmtId="0" fontId="3" fillId="19" borderId="0" xfId="0" applyFont="1" applyFill="1" applyAlignment="1" applyProtection="1">
      <alignment horizontal="center" vertical="center" wrapText="1"/>
      <protection hidden="1"/>
    </xf>
    <xf numFmtId="9" fontId="3" fillId="19" borderId="0" xfId="3" applyFont="1" applyFill="1" applyBorder="1" applyAlignment="1" applyProtection="1">
      <alignment horizontal="center" vertical="center" wrapText="1"/>
      <protection hidden="1"/>
    </xf>
    <xf numFmtId="0" fontId="3" fillId="17" borderId="0" xfId="0" applyFont="1" applyFill="1" applyProtection="1">
      <protection hidden="1"/>
    </xf>
    <xf numFmtId="9" fontId="3" fillId="17" borderId="0" xfId="3" applyFont="1" applyFill="1" applyBorder="1" applyProtection="1">
      <protection hidden="1"/>
    </xf>
    <xf numFmtId="49" fontId="17" fillId="4" borderId="80" xfId="0" applyNumberFormat="1" applyFont="1" applyFill="1" applyBorder="1" applyAlignment="1" applyProtection="1">
      <alignment horizontal="center" wrapText="1"/>
      <protection hidden="1"/>
    </xf>
    <xf numFmtId="49" fontId="17" fillId="4" borderId="81" xfId="0" applyNumberFormat="1" applyFont="1" applyFill="1" applyBorder="1" applyAlignment="1" applyProtection="1">
      <alignment horizontal="left" vertical="center" wrapText="1" indent="4"/>
      <protection hidden="1"/>
    </xf>
    <xf numFmtId="0" fontId="18" fillId="4" borderId="81" xfId="0" applyFont="1" applyFill="1" applyBorder="1" applyAlignment="1" applyProtection="1">
      <alignment horizontal="center" vertical="center"/>
      <protection hidden="1"/>
    </xf>
    <xf numFmtId="49" fontId="17" fillId="4" borderId="83" xfId="0" applyNumberFormat="1" applyFont="1" applyFill="1" applyBorder="1" applyAlignment="1" applyProtection="1">
      <alignment wrapText="1"/>
      <protection hidden="1"/>
    </xf>
    <xf numFmtId="49" fontId="17" fillId="4" borderId="84" xfId="0" applyNumberFormat="1" applyFont="1" applyFill="1" applyBorder="1" applyAlignment="1" applyProtection="1">
      <alignment horizontal="left" vertical="center" wrapText="1" indent="4"/>
      <protection hidden="1"/>
    </xf>
    <xf numFmtId="172" fontId="18" fillId="4" borderId="84" xfId="0" applyNumberFormat="1" applyFont="1" applyFill="1" applyBorder="1" applyAlignment="1" applyProtection="1">
      <alignment horizontal="center" vertical="center"/>
      <protection hidden="1"/>
    </xf>
    <xf numFmtId="3" fontId="4" fillId="18" borderId="87" xfId="0" applyNumberFormat="1" applyFont="1" applyFill="1" applyBorder="1" applyAlignment="1" applyProtection="1">
      <alignment horizontal="center" vertical="center"/>
      <protection hidden="1"/>
    </xf>
    <xf numFmtId="3" fontId="4" fillId="18" borderId="67" xfId="0" applyNumberFormat="1" applyFont="1" applyFill="1" applyBorder="1" applyAlignment="1" applyProtection="1">
      <alignment horizontal="center" vertical="center"/>
      <protection hidden="1"/>
    </xf>
    <xf numFmtId="9" fontId="4" fillId="18" borderId="67" xfId="3" applyFont="1" applyFill="1" applyBorder="1" applyAlignment="1" applyProtection="1">
      <alignment horizontal="center" vertical="center"/>
      <protection hidden="1"/>
    </xf>
    <xf numFmtId="0" fontId="4" fillId="18" borderId="88" xfId="0" applyFont="1" applyFill="1" applyBorder="1" applyAlignment="1" applyProtection="1">
      <alignment horizontal="right"/>
      <protection hidden="1"/>
    </xf>
    <xf numFmtId="173" fontId="3" fillId="7" borderId="89" xfId="0" applyNumberFormat="1" applyFont="1" applyFill="1" applyBorder="1" applyAlignment="1" applyProtection="1">
      <alignment horizontal="right" vertical="center"/>
      <protection locked="0"/>
    </xf>
    <xf numFmtId="173" fontId="3" fillId="7" borderId="90" xfId="0" applyNumberFormat="1" applyFont="1" applyFill="1" applyBorder="1" applyAlignment="1" applyProtection="1">
      <alignment horizontal="right" vertical="center"/>
      <protection locked="0"/>
    </xf>
    <xf numFmtId="9" fontId="3" fillId="17" borderId="67" xfId="3" applyFont="1" applyFill="1" applyBorder="1" applyAlignment="1" applyProtection="1">
      <alignment horizontal="center" vertical="center"/>
      <protection hidden="1"/>
    </xf>
    <xf numFmtId="167" fontId="3" fillId="17" borderId="88" xfId="0" applyNumberFormat="1" applyFont="1" applyFill="1" applyBorder="1" applyAlignment="1" applyProtection="1">
      <alignment horizontal="center" vertical="center"/>
      <protection hidden="1"/>
    </xf>
    <xf numFmtId="173" fontId="3" fillId="17" borderId="87" xfId="0" applyNumberFormat="1" applyFont="1" applyFill="1" applyBorder="1" applyAlignment="1" applyProtection="1">
      <alignment horizontal="right" vertical="center"/>
      <protection hidden="1"/>
    </xf>
    <xf numFmtId="173" fontId="3" fillId="17" borderId="67" xfId="0" applyNumberFormat="1" applyFont="1" applyFill="1" applyBorder="1" applyAlignment="1" applyProtection="1">
      <alignment horizontal="right" vertical="center"/>
      <protection hidden="1"/>
    </xf>
    <xf numFmtId="0" fontId="19" fillId="17" borderId="86" xfId="0" applyFont="1" applyFill="1" applyBorder="1" applyAlignment="1" applyProtection="1">
      <alignment vertical="center" wrapText="1"/>
      <protection hidden="1"/>
    </xf>
    <xf numFmtId="0" fontId="19" fillId="17" borderId="0" xfId="0" applyFont="1" applyFill="1" applyAlignment="1" applyProtection="1">
      <alignment horizontal="center" vertical="center"/>
      <protection hidden="1"/>
    </xf>
    <xf numFmtId="9" fontId="3" fillId="17" borderId="87" xfId="3" applyFont="1" applyFill="1" applyBorder="1" applyAlignment="1" applyProtection="1">
      <alignment horizontal="center" vertical="center"/>
      <protection hidden="1"/>
    </xf>
    <xf numFmtId="0" fontId="19" fillId="17" borderId="86" xfId="0" applyFont="1" applyFill="1" applyBorder="1" applyAlignment="1" applyProtection="1">
      <alignment vertical="center"/>
      <protection hidden="1"/>
    </xf>
    <xf numFmtId="173" fontId="4" fillId="18" borderId="67" xfId="0" applyNumberFormat="1" applyFont="1" applyFill="1" applyBorder="1" applyAlignment="1" applyProtection="1">
      <alignment horizontal="right" vertical="center"/>
      <protection hidden="1"/>
    </xf>
    <xf numFmtId="0" fontId="4" fillId="18" borderId="88" xfId="0" applyFont="1" applyFill="1" applyBorder="1" applyAlignment="1" applyProtection="1">
      <alignment horizontal="center"/>
      <protection hidden="1"/>
    </xf>
    <xf numFmtId="0" fontId="4" fillId="17" borderId="86" xfId="0" applyFont="1" applyFill="1" applyBorder="1" applyAlignment="1" applyProtection="1">
      <alignment vertical="center"/>
      <protection hidden="1"/>
    </xf>
    <xf numFmtId="0" fontId="4" fillId="17" borderId="0" xfId="0" applyFont="1" applyFill="1" applyAlignment="1" applyProtection="1">
      <alignment horizontal="center" vertical="center"/>
      <protection hidden="1"/>
    </xf>
    <xf numFmtId="0" fontId="3" fillId="17" borderId="86" xfId="0" applyFont="1" applyFill="1" applyBorder="1" applyAlignment="1" applyProtection="1">
      <alignment vertical="center"/>
      <protection hidden="1"/>
    </xf>
    <xf numFmtId="0" fontId="3" fillId="17" borderId="0" xfId="0" applyFont="1" applyFill="1" applyAlignment="1" applyProtection="1">
      <alignment horizontal="center" vertical="center"/>
      <protection hidden="1"/>
    </xf>
    <xf numFmtId="0" fontId="4" fillId="18" borderId="88" xfId="0" applyFont="1" applyFill="1" applyBorder="1" applyAlignment="1" applyProtection="1">
      <alignment horizontal="center" vertical="center"/>
      <protection hidden="1"/>
    </xf>
    <xf numFmtId="174" fontId="3" fillId="17" borderId="92" xfId="0" applyNumberFormat="1" applyFont="1" applyFill="1" applyBorder="1" applyAlignment="1" applyProtection="1">
      <alignment horizontal="center" vertical="center"/>
      <protection hidden="1"/>
    </xf>
    <xf numFmtId="3" fontId="3" fillId="17" borderId="91" xfId="0" applyNumberFormat="1" applyFont="1" applyFill="1" applyBorder="1" applyAlignment="1" applyProtection="1">
      <alignment horizontal="center" vertical="center"/>
      <protection hidden="1"/>
    </xf>
    <xf numFmtId="9" fontId="3" fillId="17" borderId="91" xfId="3" applyFont="1" applyFill="1" applyBorder="1" applyAlignment="1" applyProtection="1">
      <alignment horizontal="center" vertical="center"/>
      <protection hidden="1"/>
    </xf>
    <xf numFmtId="167" fontId="3" fillId="17" borderId="85" xfId="0" applyNumberFormat="1" applyFont="1" applyFill="1" applyBorder="1" applyAlignment="1" applyProtection="1">
      <alignment horizontal="center" vertical="center"/>
      <protection hidden="1"/>
    </xf>
    <xf numFmtId="0" fontId="3" fillId="0" borderId="0" xfId="0" applyFont="1" applyAlignment="1" applyProtection="1">
      <alignment horizontal="center" vertical="center"/>
      <protection hidden="1"/>
    </xf>
    <xf numFmtId="3" fontId="3" fillId="0" borderId="0" xfId="0" applyNumberFormat="1" applyFont="1" applyAlignment="1" applyProtection="1">
      <alignment horizontal="center" vertical="center"/>
      <protection hidden="1"/>
    </xf>
    <xf numFmtId="9" fontId="3" fillId="0" borderId="0" xfId="3" applyFont="1" applyFill="1" applyAlignment="1" applyProtection="1">
      <alignment horizontal="center" vertical="center"/>
      <protection hidden="1"/>
    </xf>
    <xf numFmtId="167" fontId="3" fillId="0" borderId="0" xfId="0" applyNumberFormat="1" applyFont="1" applyAlignment="1" applyProtection="1">
      <alignment horizontal="center" vertical="center"/>
      <protection hidden="1"/>
    </xf>
    <xf numFmtId="167" fontId="3" fillId="0" borderId="0" xfId="0" applyNumberFormat="1" applyFont="1" applyAlignment="1" applyProtection="1">
      <alignment horizontal="center"/>
      <protection hidden="1"/>
    </xf>
    <xf numFmtId="9" fontId="3" fillId="0" borderId="0" xfId="3" applyFont="1" applyAlignment="1" applyProtection="1">
      <alignment horizontal="center"/>
      <protection hidden="1"/>
    </xf>
    <xf numFmtId="9" fontId="3" fillId="0" borderId="0" xfId="3" applyFont="1" applyProtection="1">
      <protection hidden="1"/>
    </xf>
    <xf numFmtId="9" fontId="3" fillId="17" borderId="0" xfId="3" applyFont="1" applyFill="1" applyProtection="1">
      <protection hidden="1"/>
    </xf>
    <xf numFmtId="0" fontId="15" fillId="19" borderId="0" xfId="0" applyFont="1" applyFill="1" applyAlignment="1" applyProtection="1">
      <alignment horizontal="right" vertical="center" indent="1"/>
      <protection hidden="1"/>
    </xf>
    <xf numFmtId="0" fontId="3" fillId="0" borderId="0" xfId="0" applyFont="1" applyAlignment="1">
      <alignment vertical="center"/>
    </xf>
    <xf numFmtId="0" fontId="3" fillId="0" borderId="0" xfId="0" applyFont="1" applyAlignment="1">
      <alignment horizontal="center" vertical="center"/>
    </xf>
    <xf numFmtId="3" fontId="3" fillId="0" borderId="0" xfId="0" applyNumberFormat="1" applyFont="1" applyAlignment="1">
      <alignment horizontal="center" vertical="center"/>
    </xf>
    <xf numFmtId="9" fontId="3" fillId="0" borderId="0" xfId="3" applyFont="1" applyFill="1" applyAlignment="1" applyProtection="1">
      <alignment horizontal="center" vertical="center"/>
    </xf>
    <xf numFmtId="167" fontId="3" fillId="0" borderId="0" xfId="0" applyNumberFormat="1" applyFont="1" applyAlignment="1">
      <alignment horizontal="center" vertical="center"/>
    </xf>
    <xf numFmtId="9" fontId="3" fillId="0" borderId="0" xfId="3" applyFont="1" applyFill="1" applyProtection="1"/>
    <xf numFmtId="0" fontId="3" fillId="0" borderId="0" xfId="0" applyFont="1" applyAlignment="1">
      <alignment horizontal="center"/>
    </xf>
    <xf numFmtId="9" fontId="3" fillId="0" borderId="0" xfId="3" applyFont="1" applyFill="1" applyAlignment="1" applyProtection="1">
      <alignment horizontal="center"/>
    </xf>
    <xf numFmtId="167" fontId="3" fillId="0" borderId="0" xfId="0" applyNumberFormat="1" applyFont="1" applyAlignment="1">
      <alignment horizontal="center"/>
    </xf>
    <xf numFmtId="9" fontId="3" fillId="0" borderId="0" xfId="3" applyFont="1" applyAlignment="1" applyProtection="1">
      <alignment horizontal="center"/>
    </xf>
    <xf numFmtId="9" fontId="3" fillId="0" borderId="0" xfId="3" applyFont="1" applyProtection="1"/>
    <xf numFmtId="0" fontId="3" fillId="17" borderId="0" xfId="0" applyFont="1" applyFill="1"/>
    <xf numFmtId="0" fontId="3" fillId="17" borderId="0" xfId="0" applyFont="1" applyFill="1" applyAlignment="1">
      <alignment vertical="center"/>
    </xf>
    <xf numFmtId="0" fontId="3" fillId="17" borderId="0" xfId="0" applyFont="1" applyFill="1" applyAlignment="1">
      <alignment horizontal="center" vertical="center"/>
    </xf>
    <xf numFmtId="3" fontId="3" fillId="17" borderId="0" xfId="0" applyNumberFormat="1" applyFont="1" applyFill="1" applyAlignment="1">
      <alignment horizontal="center" vertical="center"/>
    </xf>
    <xf numFmtId="9" fontId="3" fillId="17" borderId="0" xfId="3" applyFont="1" applyFill="1" applyAlignment="1" applyProtection="1">
      <alignment horizontal="center" vertical="center"/>
    </xf>
    <xf numFmtId="167" fontId="3" fillId="17" borderId="0" xfId="0" applyNumberFormat="1" applyFont="1" applyFill="1" applyAlignment="1">
      <alignment horizontal="center" vertical="center"/>
    </xf>
    <xf numFmtId="9" fontId="3" fillId="17" borderId="0" xfId="3" applyFont="1" applyFill="1" applyProtection="1"/>
    <xf numFmtId="0" fontId="3" fillId="17" borderId="0" xfId="0" applyFont="1" applyFill="1" applyAlignment="1">
      <alignment horizontal="center"/>
    </xf>
    <xf numFmtId="9" fontId="3" fillId="17" borderId="0" xfId="3" applyFont="1" applyFill="1" applyAlignment="1" applyProtection="1">
      <alignment horizontal="center"/>
    </xf>
    <xf numFmtId="167" fontId="3" fillId="17" borderId="0" xfId="0" applyNumberFormat="1" applyFont="1" applyFill="1" applyAlignment="1">
      <alignment horizontal="center"/>
    </xf>
    <xf numFmtId="0" fontId="20" fillId="19" borderId="0" xfId="0" applyFont="1" applyFill="1" applyProtection="1">
      <protection hidden="1"/>
    </xf>
    <xf numFmtId="0" fontId="21" fillId="7" borderId="73" xfId="0" applyFont="1" applyFill="1" applyBorder="1" applyAlignment="1" applyProtection="1">
      <alignment horizontal="left" vertical="center" indent="1"/>
      <protection hidden="1"/>
    </xf>
    <xf numFmtId="0" fontId="3" fillId="19" borderId="0" xfId="0" applyFont="1" applyFill="1"/>
    <xf numFmtId="0" fontId="23" fillId="19" borderId="0" xfId="0" applyFont="1" applyFill="1" applyAlignment="1" applyProtection="1">
      <alignment horizontal="right" vertical="center" indent="1"/>
      <protection hidden="1"/>
    </xf>
    <xf numFmtId="0" fontId="23" fillId="18" borderId="76" xfId="0" applyFont="1" applyFill="1" applyBorder="1" applyAlignment="1" applyProtection="1">
      <alignment horizontal="left" vertical="center" indent="1"/>
      <protection hidden="1"/>
    </xf>
    <xf numFmtId="0" fontId="23" fillId="18" borderId="77" xfId="0" applyFont="1" applyFill="1" applyBorder="1" applyAlignment="1" applyProtection="1">
      <alignment horizontal="left" vertical="center" indent="1"/>
      <protection hidden="1"/>
    </xf>
    <xf numFmtId="0" fontId="23" fillId="18" borderId="78" xfId="0" applyFont="1" applyFill="1" applyBorder="1" applyAlignment="1" applyProtection="1">
      <alignment horizontal="left" vertical="center" indent="1"/>
      <protection hidden="1"/>
    </xf>
    <xf numFmtId="0" fontId="16" fillId="19" borderId="0" xfId="0" applyFont="1" applyFill="1" applyAlignment="1" applyProtection="1">
      <alignment horizontal="left" indent="1"/>
      <protection hidden="1"/>
    </xf>
    <xf numFmtId="0" fontId="24" fillId="19" borderId="0" xfId="0" applyFont="1" applyFill="1" applyAlignment="1">
      <alignment horizontal="right"/>
    </xf>
    <xf numFmtId="0" fontId="25" fillId="4" borderId="80" xfId="0" applyFont="1" applyFill="1" applyBorder="1" applyProtection="1">
      <protection hidden="1"/>
    </xf>
    <xf numFmtId="0" fontId="25" fillId="4" borderId="81" xfId="0" applyFont="1" applyFill="1" applyBorder="1" applyAlignment="1" applyProtection="1">
      <alignment horizontal="center" wrapText="1"/>
      <protection hidden="1"/>
    </xf>
    <xf numFmtId="0" fontId="25" fillId="4" borderId="81" xfId="0" applyFont="1" applyFill="1" applyBorder="1" applyAlignment="1" applyProtection="1">
      <alignment horizontal="right"/>
      <protection hidden="1"/>
    </xf>
    <xf numFmtId="0" fontId="25" fillId="4" borderId="82" xfId="0" applyFont="1" applyFill="1" applyBorder="1" applyAlignment="1" applyProtection="1">
      <alignment horizontal="right"/>
      <protection hidden="1"/>
    </xf>
    <xf numFmtId="0" fontId="25" fillId="4" borderId="81" xfId="0" applyFont="1" applyFill="1" applyBorder="1" applyProtection="1">
      <protection hidden="1"/>
    </xf>
    <xf numFmtId="0" fontId="25" fillId="4" borderId="81" xfId="0" applyFont="1" applyFill="1" applyBorder="1" applyAlignment="1" applyProtection="1">
      <alignment horizontal="center"/>
      <protection hidden="1"/>
    </xf>
    <xf numFmtId="0" fontId="25" fillId="4" borderId="82" xfId="0" applyFont="1" applyFill="1" applyBorder="1" applyAlignment="1" applyProtection="1">
      <alignment horizontal="center"/>
      <protection hidden="1"/>
    </xf>
    <xf numFmtId="0" fontId="23" fillId="19" borderId="0" xfId="0" applyFont="1" applyFill="1" applyAlignment="1" applyProtection="1">
      <alignment horizontal="right"/>
      <protection hidden="1"/>
    </xf>
    <xf numFmtId="0" fontId="26" fillId="4" borderId="80" xfId="0" applyFont="1" applyFill="1" applyBorder="1" applyProtection="1">
      <protection hidden="1"/>
    </xf>
    <xf numFmtId="15" fontId="24" fillId="19" borderId="0" xfId="0" applyNumberFormat="1" applyFont="1" applyFill="1" applyAlignment="1">
      <alignment horizontal="right"/>
    </xf>
    <xf numFmtId="0" fontId="25" fillId="4" borderId="83" xfId="0" applyFont="1" applyFill="1" applyBorder="1" applyProtection="1">
      <protection hidden="1"/>
    </xf>
    <xf numFmtId="0" fontId="25" fillId="4" borderId="84" xfId="0" applyFont="1" applyFill="1" applyBorder="1" applyAlignment="1" applyProtection="1">
      <alignment wrapText="1"/>
      <protection hidden="1"/>
    </xf>
    <xf numFmtId="15" fontId="25" fillId="4" borderId="84" xfId="0" applyNumberFormat="1" applyFont="1" applyFill="1" applyBorder="1" applyAlignment="1" applyProtection="1">
      <alignment horizontal="right"/>
      <protection hidden="1"/>
    </xf>
    <xf numFmtId="15" fontId="25" fillId="4" borderId="85" xfId="0" applyNumberFormat="1" applyFont="1" applyFill="1" applyBorder="1" applyAlignment="1" applyProtection="1">
      <alignment horizontal="right"/>
      <protection hidden="1"/>
    </xf>
    <xf numFmtId="0" fontId="18" fillId="4" borderId="83" xfId="0" applyFont="1" applyFill="1" applyBorder="1" applyProtection="1">
      <protection hidden="1"/>
    </xf>
    <xf numFmtId="0" fontId="18" fillId="4" borderId="84" xfId="0" applyFont="1" applyFill="1" applyBorder="1" applyProtection="1">
      <protection hidden="1"/>
    </xf>
    <xf numFmtId="15" fontId="25" fillId="4" borderId="84" xfId="0" applyNumberFormat="1" applyFont="1" applyFill="1" applyBorder="1" applyAlignment="1" applyProtection="1">
      <alignment horizontal="center"/>
      <protection hidden="1"/>
    </xf>
    <xf numFmtId="15" fontId="25" fillId="4" borderId="85" xfId="0" applyNumberFormat="1" applyFont="1" applyFill="1" applyBorder="1" applyAlignment="1" applyProtection="1">
      <alignment horizontal="center"/>
      <protection hidden="1"/>
    </xf>
    <xf numFmtId="15" fontId="23" fillId="19" borderId="0" xfId="0" applyNumberFormat="1" applyFont="1" applyFill="1" applyProtection="1">
      <protection hidden="1"/>
    </xf>
    <xf numFmtId="0" fontId="20" fillId="19" borderId="0" xfId="0" applyFont="1" applyFill="1"/>
    <xf numFmtId="0" fontId="23" fillId="0" borderId="80" xfId="0" applyFont="1" applyBorder="1" applyAlignment="1" applyProtection="1">
      <alignment horizontal="left" indent="2"/>
      <protection hidden="1"/>
    </xf>
    <xf numFmtId="0" fontId="20" fillId="0" borderId="81" xfId="0" applyFont="1" applyBorder="1" applyAlignment="1" applyProtection="1">
      <alignment wrapText="1"/>
      <protection hidden="1"/>
    </xf>
    <xf numFmtId="0" fontId="20" fillId="0" borderId="81" xfId="0" applyFont="1" applyBorder="1" applyProtection="1">
      <protection hidden="1"/>
    </xf>
    <xf numFmtId="0" fontId="20" fillId="0" borderId="82" xfId="0" applyFont="1" applyBorder="1" applyProtection="1">
      <protection hidden="1"/>
    </xf>
    <xf numFmtId="0" fontId="3" fillId="18" borderId="80" xfId="0" applyFont="1" applyFill="1" applyBorder="1" applyProtection="1">
      <protection hidden="1"/>
    </xf>
    <xf numFmtId="0" fontId="3" fillId="18" borderId="81" xfId="0" applyFont="1" applyFill="1" applyBorder="1" applyProtection="1">
      <protection hidden="1"/>
    </xf>
    <xf numFmtId="0" fontId="3" fillId="18" borderId="93" xfId="0" applyFont="1" applyFill="1" applyBorder="1" applyProtection="1">
      <protection hidden="1"/>
    </xf>
    <xf numFmtId="0" fontId="3" fillId="18" borderId="94" xfId="0" applyFont="1" applyFill="1" applyBorder="1" applyProtection="1">
      <protection hidden="1"/>
    </xf>
    <xf numFmtId="0" fontId="20" fillId="18" borderId="80" xfId="0" applyFont="1" applyFill="1" applyBorder="1" applyProtection="1">
      <protection hidden="1"/>
    </xf>
    <xf numFmtId="0" fontId="20" fillId="18" borderId="93" xfId="0" applyFont="1" applyFill="1" applyBorder="1" applyProtection="1">
      <protection hidden="1"/>
    </xf>
    <xf numFmtId="0" fontId="20" fillId="18" borderId="94" xfId="0" applyFont="1" applyFill="1" applyBorder="1" applyProtection="1">
      <protection hidden="1"/>
    </xf>
    <xf numFmtId="10" fontId="20" fillId="19" borderId="0" xfId="0" applyNumberFormat="1" applyFont="1" applyFill="1" applyAlignment="1">
      <alignment horizontal="right"/>
    </xf>
    <xf numFmtId="0" fontId="23" fillId="0" borderId="86" xfId="0" applyFont="1" applyBorder="1" applyProtection="1">
      <protection hidden="1"/>
    </xf>
    <xf numFmtId="0" fontId="20" fillId="0" borderId="0" xfId="0" applyFont="1" applyAlignment="1" applyProtection="1">
      <alignment wrapText="1"/>
      <protection hidden="1"/>
    </xf>
    <xf numFmtId="173" fontId="20" fillId="7" borderId="95" xfId="0" applyNumberFormat="1" applyFont="1" applyFill="1" applyBorder="1" applyAlignment="1" applyProtection="1">
      <alignment vertical="center"/>
      <protection locked="0"/>
    </xf>
    <xf numFmtId="173" fontId="20" fillId="7" borderId="96" xfId="0" applyNumberFormat="1" applyFont="1" applyFill="1" applyBorder="1" applyAlignment="1" applyProtection="1">
      <alignment vertical="center"/>
      <protection locked="0"/>
    </xf>
    <xf numFmtId="10" fontId="20" fillId="0" borderId="0" xfId="0" applyNumberFormat="1" applyFont="1" applyAlignment="1" applyProtection="1">
      <alignment horizontal="center" vertical="center"/>
      <protection hidden="1"/>
    </xf>
    <xf numFmtId="173" fontId="20" fillId="7" borderId="97" xfId="0" applyNumberFormat="1" applyFont="1" applyFill="1" applyBorder="1" applyAlignment="1" applyProtection="1">
      <alignment vertical="center"/>
      <protection locked="0"/>
    </xf>
    <xf numFmtId="10" fontId="20" fillId="0" borderId="88" xfId="0" applyNumberFormat="1" applyFont="1" applyBorder="1" applyAlignment="1" applyProtection="1">
      <alignment horizontal="center" vertical="center"/>
      <protection hidden="1"/>
    </xf>
    <xf numFmtId="0" fontId="20" fillId="18" borderId="86" xfId="0" applyFont="1" applyFill="1" applyBorder="1" applyProtection="1">
      <protection hidden="1"/>
    </xf>
    <xf numFmtId="0" fontId="20" fillId="18" borderId="0" xfId="0" applyFont="1" applyFill="1" applyProtection="1">
      <protection hidden="1"/>
    </xf>
    <xf numFmtId="175" fontId="20" fillId="18" borderId="98" xfId="0" applyNumberFormat="1" applyFont="1" applyFill="1" applyBorder="1" applyProtection="1">
      <protection hidden="1"/>
    </xf>
    <xf numFmtId="175" fontId="20" fillId="18" borderId="99" xfId="0" applyNumberFormat="1" applyFont="1" applyFill="1" applyBorder="1" applyProtection="1">
      <protection hidden="1"/>
    </xf>
    <xf numFmtId="4" fontId="20" fillId="19" borderId="0" xfId="0" applyNumberFormat="1" applyFont="1" applyFill="1" applyProtection="1">
      <protection hidden="1"/>
    </xf>
    <xf numFmtId="10" fontId="20" fillId="18" borderId="98" xfId="0" applyNumberFormat="1" applyFont="1" applyFill="1" applyBorder="1" applyAlignment="1" applyProtection="1">
      <alignment horizontal="right"/>
      <protection hidden="1"/>
    </xf>
    <xf numFmtId="10" fontId="20" fillId="18" borderId="99" xfId="0" applyNumberFormat="1" applyFont="1" applyFill="1" applyBorder="1" applyAlignment="1" applyProtection="1">
      <alignment horizontal="right"/>
      <protection hidden="1"/>
    </xf>
    <xf numFmtId="0" fontId="20" fillId="0" borderId="86" xfId="0" applyFont="1" applyBorder="1" applyProtection="1">
      <protection hidden="1"/>
    </xf>
    <xf numFmtId="0" fontId="27" fillId="18" borderId="86" xfId="0" applyFont="1" applyFill="1" applyBorder="1" applyProtection="1">
      <protection hidden="1"/>
    </xf>
    <xf numFmtId="175" fontId="23" fillId="18" borderId="98" xfId="0" applyNumberFormat="1" applyFont="1" applyFill="1" applyBorder="1" applyProtection="1">
      <protection hidden="1"/>
    </xf>
    <xf numFmtId="175" fontId="23" fillId="18" borderId="99" xfId="0" applyNumberFormat="1" applyFont="1" applyFill="1" applyBorder="1" applyProtection="1">
      <protection hidden="1"/>
    </xf>
    <xf numFmtId="4" fontId="23" fillId="19" borderId="0" xfId="0" applyNumberFormat="1" applyFont="1" applyFill="1" applyProtection="1">
      <protection hidden="1"/>
    </xf>
    <xf numFmtId="173" fontId="20" fillId="7" borderId="100" xfId="0" applyNumberFormat="1" applyFont="1" applyFill="1" applyBorder="1" applyAlignment="1" applyProtection="1">
      <alignment vertical="center"/>
      <protection locked="0"/>
    </xf>
    <xf numFmtId="173" fontId="20" fillId="7" borderId="101" xfId="0" applyNumberFormat="1" applyFont="1" applyFill="1" applyBorder="1" applyAlignment="1" applyProtection="1">
      <alignment vertical="center"/>
      <protection locked="0"/>
    </xf>
    <xf numFmtId="173" fontId="20" fillId="7" borderId="102" xfId="0" applyNumberFormat="1" applyFont="1" applyFill="1" applyBorder="1" applyAlignment="1" applyProtection="1">
      <alignment vertical="center"/>
      <protection locked="0"/>
    </xf>
    <xf numFmtId="0" fontId="23" fillId="0" borderId="103" xfId="0" applyFont="1" applyBorder="1" applyAlignment="1" applyProtection="1">
      <alignment wrapText="1"/>
      <protection hidden="1"/>
    </xf>
    <xf numFmtId="173" fontId="23" fillId="0" borderId="103" xfId="0" applyNumberFormat="1" applyFont="1" applyBorder="1" applyAlignment="1" applyProtection="1">
      <alignment vertical="center"/>
      <protection hidden="1"/>
    </xf>
    <xf numFmtId="10" fontId="23" fillId="0" borderId="103" xfId="0" applyNumberFormat="1" applyFont="1" applyBorder="1" applyAlignment="1" applyProtection="1">
      <alignment horizontal="center" vertical="center"/>
      <protection hidden="1"/>
    </xf>
    <xf numFmtId="10" fontId="23" fillId="0" borderId="104" xfId="0" applyNumberFormat="1" applyFont="1" applyBorder="1" applyAlignment="1" applyProtection="1">
      <alignment horizontal="center" vertical="center"/>
      <protection hidden="1"/>
    </xf>
    <xf numFmtId="0" fontId="3" fillId="0" borderId="86" xfId="0" applyFont="1" applyBorder="1" applyProtection="1">
      <protection hidden="1"/>
    </xf>
    <xf numFmtId="4" fontId="20" fillId="0" borderId="0" xfId="0" applyNumberFormat="1" applyFont="1" applyAlignment="1" applyProtection="1">
      <alignment vertical="center"/>
      <protection hidden="1"/>
    </xf>
    <xf numFmtId="0" fontId="23" fillId="0" borderId="86" xfId="0" applyFont="1" applyBorder="1" applyAlignment="1" applyProtection="1">
      <alignment horizontal="left" indent="2"/>
      <protection hidden="1"/>
    </xf>
    <xf numFmtId="0" fontId="28" fillId="18" borderId="86" xfId="0" applyFont="1" applyFill="1" applyBorder="1" applyProtection="1">
      <protection hidden="1"/>
    </xf>
    <xf numFmtId="0" fontId="3" fillId="18" borderId="0" xfId="0" applyFont="1" applyFill="1" applyProtection="1">
      <protection hidden="1"/>
    </xf>
    <xf numFmtId="0" fontId="20" fillId="19" borderId="0" xfId="0" applyFont="1" applyFill="1" applyAlignment="1">
      <alignment horizontal="right"/>
    </xf>
    <xf numFmtId="0" fontId="20" fillId="18" borderId="98" xfId="0" applyFont="1" applyFill="1" applyBorder="1" applyAlignment="1" applyProtection="1">
      <alignment horizontal="right"/>
      <protection hidden="1"/>
    </xf>
    <xf numFmtId="0" fontId="20" fillId="18" borderId="99" xfId="0" applyFont="1" applyFill="1" applyBorder="1" applyAlignment="1" applyProtection="1">
      <alignment horizontal="right"/>
      <protection hidden="1"/>
    </xf>
    <xf numFmtId="2" fontId="20" fillId="19" borderId="0" xfId="0" applyNumberFormat="1" applyFont="1" applyFill="1" applyAlignment="1">
      <alignment horizontal="right"/>
    </xf>
    <xf numFmtId="2" fontId="20" fillId="18" borderId="98" xfId="0" applyNumberFormat="1" applyFont="1" applyFill="1" applyBorder="1" applyAlignment="1" applyProtection="1">
      <alignment horizontal="right"/>
      <protection hidden="1"/>
    </xf>
    <xf numFmtId="0" fontId="20" fillId="0" borderId="0" xfId="0" applyFont="1" applyProtection="1">
      <protection hidden="1"/>
    </xf>
    <xf numFmtId="2" fontId="20" fillId="18" borderId="99" xfId="0" applyNumberFormat="1" applyFont="1" applyFill="1" applyBorder="1" applyAlignment="1" applyProtection="1">
      <alignment horizontal="right"/>
      <protection hidden="1"/>
    </xf>
    <xf numFmtId="0" fontId="3" fillId="18" borderId="86" xfId="0" applyFont="1" applyFill="1" applyBorder="1" applyProtection="1">
      <protection hidden="1"/>
    </xf>
    <xf numFmtId="175" fontId="3" fillId="18" borderId="98" xfId="0" applyNumberFormat="1" applyFont="1" applyFill="1" applyBorder="1" applyProtection="1">
      <protection hidden="1"/>
    </xf>
    <xf numFmtId="175" fontId="3" fillId="18" borderId="99" xfId="0" applyNumberFormat="1" applyFont="1" applyFill="1" applyBorder="1" applyProtection="1">
      <protection hidden="1"/>
    </xf>
    <xf numFmtId="0" fontId="23" fillId="0" borderId="103" xfId="0" applyFont="1" applyBorder="1" applyProtection="1">
      <protection hidden="1"/>
    </xf>
    <xf numFmtId="173" fontId="20" fillId="0" borderId="0" xfId="0" applyNumberFormat="1" applyFont="1" applyAlignment="1" applyProtection="1">
      <alignment vertical="center"/>
      <protection hidden="1"/>
    </xf>
    <xf numFmtId="0" fontId="0" fillId="18" borderId="0" xfId="0" applyFill="1" applyProtection="1">
      <protection hidden="1"/>
    </xf>
    <xf numFmtId="175" fontId="20" fillId="7" borderId="0" xfId="0" applyNumberFormat="1" applyFont="1" applyFill="1" applyProtection="1">
      <protection locked="0"/>
    </xf>
    <xf numFmtId="175" fontId="20" fillId="7" borderId="88" xfId="0" applyNumberFormat="1" applyFont="1" applyFill="1" applyBorder="1" applyProtection="1">
      <protection locked="0"/>
    </xf>
    <xf numFmtId="9" fontId="20" fillId="18" borderId="98" xfId="3" applyFont="1" applyFill="1" applyBorder="1" applyAlignment="1" applyProtection="1">
      <alignment horizontal="right"/>
      <protection hidden="1"/>
    </xf>
    <xf numFmtId="9" fontId="20" fillId="18" borderId="99" xfId="3" applyFont="1" applyFill="1" applyBorder="1" applyAlignment="1" applyProtection="1">
      <alignment horizontal="right"/>
      <protection hidden="1"/>
    </xf>
    <xf numFmtId="173" fontId="20" fillId="18" borderId="105" xfId="0" applyNumberFormat="1" applyFont="1" applyFill="1" applyBorder="1" applyAlignment="1" applyProtection="1">
      <alignment vertical="center"/>
      <protection hidden="1"/>
    </xf>
    <xf numFmtId="173" fontId="20" fillId="18" borderId="106" xfId="0" applyNumberFormat="1" applyFont="1" applyFill="1" applyBorder="1" applyAlignment="1" applyProtection="1">
      <alignment vertical="center"/>
      <protection hidden="1"/>
    </xf>
    <xf numFmtId="173" fontId="20" fillId="18" borderId="97" xfId="0" applyNumberFormat="1" applyFont="1" applyFill="1" applyBorder="1" applyAlignment="1" applyProtection="1">
      <alignment vertical="center"/>
      <protection hidden="1"/>
    </xf>
    <xf numFmtId="10" fontId="20" fillId="18" borderId="98" xfId="3" applyNumberFormat="1" applyFont="1" applyFill="1" applyBorder="1" applyAlignment="1" applyProtection="1">
      <alignment horizontal="right"/>
      <protection hidden="1"/>
    </xf>
    <xf numFmtId="10" fontId="20" fillId="18" borderId="99" xfId="3" applyNumberFormat="1" applyFont="1" applyFill="1" applyBorder="1" applyAlignment="1" applyProtection="1">
      <alignment horizontal="right"/>
      <protection hidden="1"/>
    </xf>
    <xf numFmtId="0" fontId="20" fillId="18" borderId="83" xfId="0" applyFont="1" applyFill="1" applyBorder="1" applyProtection="1">
      <protection hidden="1"/>
    </xf>
    <xf numFmtId="0" fontId="20" fillId="18" borderId="107" xfId="0" applyFont="1" applyFill="1" applyBorder="1" applyAlignment="1" applyProtection="1">
      <alignment horizontal="right"/>
      <protection hidden="1"/>
    </xf>
    <xf numFmtId="0" fontId="20" fillId="18" borderId="108" xfId="0" applyFont="1" applyFill="1" applyBorder="1" applyAlignment="1" applyProtection="1">
      <alignment horizontal="right"/>
      <protection hidden="1"/>
    </xf>
    <xf numFmtId="175" fontId="28" fillId="18" borderId="98" xfId="0" applyNumberFormat="1" applyFont="1" applyFill="1" applyBorder="1" applyProtection="1">
      <protection hidden="1"/>
    </xf>
    <xf numFmtId="175" fontId="28" fillId="18" borderId="99" xfId="0" applyNumberFormat="1" applyFont="1" applyFill="1" applyBorder="1" applyProtection="1">
      <protection hidden="1"/>
    </xf>
    <xf numFmtId="167" fontId="20" fillId="0" borderId="88" xfId="0" applyNumberFormat="1" applyFont="1" applyBorder="1" applyAlignment="1" applyProtection="1">
      <alignment horizontal="center" vertical="center"/>
      <protection hidden="1"/>
    </xf>
    <xf numFmtId="4" fontId="20" fillId="18" borderId="86" xfId="0" applyNumberFormat="1" applyFont="1" applyFill="1" applyBorder="1" applyProtection="1">
      <protection hidden="1"/>
    </xf>
    <xf numFmtId="4" fontId="28" fillId="19" borderId="0" xfId="0" applyNumberFormat="1" applyFont="1" applyFill="1" applyProtection="1">
      <protection hidden="1"/>
    </xf>
    <xf numFmtId="167" fontId="23" fillId="0" borderId="104" xfId="0" applyNumberFormat="1" applyFont="1" applyBorder="1" applyAlignment="1" applyProtection="1">
      <alignment horizontal="center" vertical="center"/>
      <protection hidden="1"/>
    </xf>
    <xf numFmtId="0" fontId="23" fillId="0" borderId="0" xfId="0" applyFont="1" applyProtection="1">
      <protection hidden="1"/>
    </xf>
    <xf numFmtId="4" fontId="20" fillId="0" borderId="0" xfId="0" applyNumberFormat="1" applyFont="1" applyAlignment="1" applyProtection="1">
      <alignment horizontal="right" vertical="center"/>
      <protection hidden="1"/>
    </xf>
    <xf numFmtId="10" fontId="20" fillId="0" borderId="88" xfId="0" applyNumberFormat="1" applyFont="1" applyBorder="1" applyAlignment="1" applyProtection="1">
      <alignment horizontal="right" vertical="center"/>
      <protection hidden="1"/>
    </xf>
    <xf numFmtId="0" fontId="23" fillId="0" borderId="86" xfId="0" applyFont="1" applyBorder="1" applyAlignment="1" applyProtection="1">
      <alignment horizontal="left" indent="1"/>
      <protection hidden="1"/>
    </xf>
    <xf numFmtId="173" fontId="23" fillId="0" borderId="0" xfId="0" applyNumberFormat="1" applyFont="1" applyAlignment="1" applyProtection="1">
      <alignment vertical="center"/>
      <protection hidden="1"/>
    </xf>
    <xf numFmtId="4" fontId="23" fillId="0" borderId="0" xfId="0" applyNumberFormat="1" applyFont="1" applyAlignment="1" applyProtection="1">
      <alignment horizontal="right" vertical="center"/>
      <protection hidden="1"/>
    </xf>
    <xf numFmtId="0" fontId="23" fillId="18" borderId="86" xfId="0" applyFont="1" applyFill="1" applyBorder="1" applyProtection="1">
      <protection hidden="1"/>
    </xf>
    <xf numFmtId="0" fontId="20" fillId="0" borderId="83" xfId="0" applyFont="1" applyBorder="1" applyProtection="1">
      <protection hidden="1"/>
    </xf>
    <xf numFmtId="0" fontId="20" fillId="0" borderId="84" xfId="0" applyFont="1" applyBorder="1" applyProtection="1">
      <protection hidden="1"/>
    </xf>
    <xf numFmtId="4" fontId="20" fillId="0" borderId="84" xfId="0" applyNumberFormat="1" applyFont="1" applyBorder="1" applyProtection="1">
      <protection hidden="1"/>
    </xf>
    <xf numFmtId="4" fontId="20" fillId="0" borderId="84" xfId="0" applyNumberFormat="1" applyFont="1" applyBorder="1" applyAlignment="1" applyProtection="1">
      <alignment horizontal="right"/>
      <protection hidden="1"/>
    </xf>
    <xf numFmtId="10" fontId="20" fillId="0" borderId="85" xfId="0" applyNumberFormat="1" applyFont="1" applyBorder="1" applyAlignment="1" applyProtection="1">
      <alignment horizontal="right"/>
      <protection hidden="1"/>
    </xf>
    <xf numFmtId="0" fontId="3" fillId="18" borderId="84" xfId="0" applyFont="1" applyFill="1" applyBorder="1" applyProtection="1">
      <protection hidden="1"/>
    </xf>
    <xf numFmtId="4" fontId="20" fillId="18" borderId="107" xfId="0" applyNumberFormat="1" applyFont="1" applyFill="1" applyBorder="1" applyProtection="1">
      <protection hidden="1"/>
    </xf>
    <xf numFmtId="4" fontId="20" fillId="18" borderId="108" xfId="0" applyNumberFormat="1" applyFont="1" applyFill="1" applyBorder="1" applyProtection="1">
      <protection hidden="1"/>
    </xf>
    <xf numFmtId="4" fontId="20" fillId="19" borderId="0" xfId="0" applyNumberFormat="1" applyFont="1" applyFill="1"/>
    <xf numFmtId="4" fontId="23" fillId="19" borderId="0" xfId="0" applyNumberFormat="1" applyFont="1" applyFill="1"/>
    <xf numFmtId="0" fontId="30" fillId="0" borderId="0" xfId="5" applyFont="1" applyAlignment="1" applyProtection="1">
      <alignment horizontal="left" vertical="center"/>
      <protection hidden="1"/>
    </xf>
    <xf numFmtId="0" fontId="29" fillId="0" borderId="113" xfId="5" applyBorder="1" applyAlignment="1" applyProtection="1">
      <alignment vertical="center"/>
      <protection hidden="1"/>
    </xf>
    <xf numFmtId="0" fontId="31" fillId="0" borderId="114" xfId="5" applyFont="1" applyBorder="1" applyAlignment="1" applyProtection="1">
      <alignment horizontal="right" vertical="center" indent="1"/>
      <protection hidden="1"/>
    </xf>
    <xf numFmtId="0" fontId="29" fillId="0" borderId="114" xfId="5" applyBorder="1" applyAlignment="1" applyProtection="1">
      <alignment vertical="center"/>
      <protection hidden="1"/>
    </xf>
    <xf numFmtId="0" fontId="29" fillId="0" borderId="115" xfId="5" applyBorder="1" applyAlignment="1" applyProtection="1">
      <alignment vertical="center"/>
      <protection hidden="1"/>
    </xf>
    <xf numFmtId="0" fontId="29" fillId="0" borderId="0" xfId="5" applyAlignment="1" applyProtection="1">
      <alignment vertical="center"/>
      <protection hidden="1"/>
    </xf>
    <xf numFmtId="0" fontId="0" fillId="4" borderId="116" xfId="0" applyFill="1" applyBorder="1"/>
    <xf numFmtId="0" fontId="7" fillId="4" borderId="117" xfId="0" applyFont="1" applyFill="1" applyBorder="1" applyAlignment="1">
      <alignment vertical="center"/>
    </xf>
    <xf numFmtId="0" fontId="0" fillId="4" borderId="117" xfId="0" applyFill="1" applyBorder="1"/>
    <xf numFmtId="0" fontId="0" fillId="4" borderId="118" xfId="0" applyFill="1" applyBorder="1"/>
    <xf numFmtId="0" fontId="30" fillId="0" borderId="0" xfId="5" applyFont="1" applyAlignment="1" applyProtection="1">
      <alignment horizontal="right" vertical="center"/>
      <protection hidden="1"/>
    </xf>
    <xf numFmtId="0" fontId="29" fillId="0" borderId="66" xfId="5" applyBorder="1" applyAlignment="1" applyProtection="1">
      <alignment vertical="center"/>
      <protection hidden="1"/>
    </xf>
    <xf numFmtId="0" fontId="29" fillId="0" borderId="119" xfId="5" applyBorder="1" applyAlignment="1" applyProtection="1">
      <alignment vertical="center"/>
      <protection hidden="1"/>
    </xf>
    <xf numFmtId="0" fontId="0" fillId="0" borderId="66" xfId="0" applyBorder="1"/>
    <xf numFmtId="0" fontId="0" fillId="0" borderId="119" xfId="0" applyBorder="1"/>
    <xf numFmtId="0" fontId="31" fillId="0" borderId="0" xfId="5" applyFont="1" applyAlignment="1" applyProtection="1">
      <alignment horizontal="right" vertical="center" indent="1"/>
      <protection hidden="1"/>
    </xf>
    <xf numFmtId="0" fontId="29" fillId="0" borderId="66" xfId="5" applyBorder="1" applyAlignment="1" applyProtection="1">
      <alignment horizontal="center" wrapText="1"/>
      <protection hidden="1"/>
    </xf>
    <xf numFmtId="0" fontId="29" fillId="0" borderId="66" xfId="5" applyBorder="1" applyAlignment="1" applyProtection="1">
      <alignment wrapText="1"/>
      <protection hidden="1"/>
    </xf>
    <xf numFmtId="0" fontId="29" fillId="0" borderId="0" xfId="5" applyAlignment="1" applyProtection="1">
      <alignment horizontal="right" vertical="center" indent="1"/>
      <protection hidden="1"/>
    </xf>
    <xf numFmtId="0" fontId="29" fillId="0" borderId="66" xfId="5" applyBorder="1" applyAlignment="1" applyProtection="1">
      <alignment vertical="center" wrapText="1"/>
      <protection hidden="1"/>
    </xf>
    <xf numFmtId="0" fontId="0" fillId="0" borderId="0" xfId="0" applyProtection="1">
      <protection locked="0"/>
    </xf>
    <xf numFmtId="0" fontId="0" fillId="0" borderId="68" xfId="0" applyBorder="1"/>
    <xf numFmtId="0" fontId="0" fillId="0" borderId="56" xfId="0" applyBorder="1"/>
    <xf numFmtId="0" fontId="0" fillId="0" borderId="69" xfId="0" applyBorder="1"/>
    <xf numFmtId="0" fontId="6" fillId="4" borderId="116" xfId="5" applyFont="1" applyFill="1" applyBorder="1" applyAlignment="1" applyProtection="1">
      <alignment horizontal="center" vertical="center"/>
      <protection hidden="1"/>
    </xf>
    <xf numFmtId="0" fontId="6" fillId="4" borderId="117" xfId="5" applyFont="1" applyFill="1" applyBorder="1" applyAlignment="1" applyProtection="1">
      <alignment vertical="center"/>
      <protection hidden="1"/>
    </xf>
    <xf numFmtId="0" fontId="32" fillId="4" borderId="117" xfId="5" applyFont="1" applyFill="1" applyBorder="1" applyAlignment="1" applyProtection="1">
      <alignment horizontal="left" vertical="center" indent="1"/>
      <protection hidden="1"/>
    </xf>
    <xf numFmtId="0" fontId="32" fillId="4" borderId="118" xfId="5" applyFont="1" applyFill="1" applyBorder="1" applyAlignment="1" applyProtection="1">
      <alignment horizontal="left" vertical="center" indent="1"/>
      <protection hidden="1"/>
    </xf>
    <xf numFmtId="0" fontId="32" fillId="4" borderId="116" xfId="5" applyFont="1" applyFill="1" applyBorder="1" applyAlignment="1" applyProtection="1">
      <alignment horizontal="left" vertical="center" indent="1"/>
      <protection hidden="1"/>
    </xf>
    <xf numFmtId="0" fontId="32" fillId="4" borderId="115" xfId="5" applyFont="1" applyFill="1" applyBorder="1" applyAlignment="1" applyProtection="1">
      <alignment vertical="center"/>
      <protection hidden="1"/>
    </xf>
    <xf numFmtId="0" fontId="31" fillId="0" borderId="66" xfId="5" applyFont="1" applyBorder="1" applyAlignment="1" applyProtection="1">
      <alignment vertical="center"/>
      <protection hidden="1"/>
    </xf>
    <xf numFmtId="0" fontId="31" fillId="0" borderId="0" xfId="5" applyFont="1" applyAlignment="1" applyProtection="1">
      <alignment vertical="center"/>
      <protection hidden="1"/>
    </xf>
    <xf numFmtId="0" fontId="33" fillId="4" borderId="2" xfId="0" applyFont="1" applyFill="1" applyBorder="1" applyAlignment="1" applyProtection="1">
      <alignment horizontal="left" vertical="center"/>
      <protection hidden="1"/>
    </xf>
    <xf numFmtId="0" fontId="34" fillId="4" borderId="3" xfId="0" applyFont="1" applyFill="1" applyBorder="1" applyAlignment="1" applyProtection="1">
      <alignment horizontal="center" vertical="center"/>
      <protection hidden="1"/>
    </xf>
    <xf numFmtId="0" fontId="33" fillId="4" borderId="3" xfId="0" applyFont="1" applyFill="1" applyBorder="1" applyProtection="1">
      <protection hidden="1"/>
    </xf>
    <xf numFmtId="0" fontId="33" fillId="4" borderId="3" xfId="0" applyFont="1" applyFill="1" applyBorder="1" applyAlignment="1" applyProtection="1">
      <alignment horizontal="center" vertical="center"/>
      <protection hidden="1"/>
    </xf>
    <xf numFmtId="0" fontId="33" fillId="4" borderId="4" xfId="0" applyFont="1" applyFill="1" applyBorder="1" applyAlignment="1" applyProtection="1">
      <alignment horizontal="center" vertical="center"/>
      <protection hidden="1"/>
    </xf>
    <xf numFmtId="0" fontId="29" fillId="0" borderId="0" xfId="5" applyAlignment="1" applyProtection="1">
      <alignment horizontal="center" vertical="center"/>
      <protection hidden="1"/>
    </xf>
    <xf numFmtId="0" fontId="29" fillId="0" borderId="46" xfId="5" applyBorder="1" applyAlignment="1" applyProtection="1">
      <alignment horizontal="center" vertical="center"/>
      <protection hidden="1"/>
    </xf>
    <xf numFmtId="177" fontId="29" fillId="7" borderId="18" xfId="5" applyNumberFormat="1" applyFill="1" applyBorder="1" applyAlignment="1" applyProtection="1">
      <alignment vertical="center"/>
      <protection locked="0"/>
    </xf>
    <xf numFmtId="0" fontId="29" fillId="0" borderId="22" xfId="5" applyBorder="1" applyAlignment="1" applyProtection="1">
      <alignment horizontal="center" vertical="center"/>
      <protection hidden="1"/>
    </xf>
    <xf numFmtId="0" fontId="29" fillId="0" borderId="121" xfId="5" applyBorder="1" applyAlignment="1" applyProtection="1">
      <alignment horizontal="center" vertical="center"/>
      <protection hidden="1"/>
    </xf>
    <xf numFmtId="177" fontId="29" fillId="7" borderId="122" xfId="5" applyNumberFormat="1" applyFill="1" applyBorder="1" applyAlignment="1" applyProtection="1">
      <alignment vertical="center"/>
      <protection locked="0"/>
    </xf>
    <xf numFmtId="177" fontId="29" fillId="0" borderId="0" xfId="5" applyNumberFormat="1" applyAlignment="1" applyProtection="1">
      <alignment vertical="center"/>
      <protection hidden="1"/>
    </xf>
    <xf numFmtId="177" fontId="29" fillId="7" borderId="59" xfId="5" applyNumberFormat="1" applyFill="1" applyBorder="1" applyAlignment="1" applyProtection="1">
      <alignment vertical="center"/>
      <protection locked="0"/>
    </xf>
    <xf numFmtId="177" fontId="29" fillId="7" borderId="21" xfId="5" applyNumberFormat="1" applyFill="1" applyBorder="1" applyAlignment="1" applyProtection="1">
      <alignment vertical="center"/>
      <protection locked="0"/>
    </xf>
    <xf numFmtId="0" fontId="29" fillId="0" borderId="54" xfId="5" applyBorder="1" applyAlignment="1" applyProtection="1">
      <alignment horizontal="center" vertical="center"/>
      <protection hidden="1"/>
    </xf>
    <xf numFmtId="177" fontId="29" fillId="7" borderId="59" xfId="5" applyNumberFormat="1" applyFill="1" applyBorder="1" applyAlignment="1" applyProtection="1">
      <alignment horizontal="center" vertical="center"/>
      <protection locked="0"/>
    </xf>
    <xf numFmtId="0" fontId="29" fillId="7" borderId="33" xfId="5" applyFill="1" applyBorder="1" applyAlignment="1" applyProtection="1">
      <alignment horizontal="center" vertical="center"/>
      <protection locked="0"/>
    </xf>
    <xf numFmtId="0" fontId="0" fillId="0" borderId="54" xfId="0" applyBorder="1" applyProtection="1">
      <protection hidden="1"/>
    </xf>
    <xf numFmtId="177" fontId="29" fillId="7" borderId="124" xfId="5" applyNumberFormat="1" applyFill="1" applyBorder="1" applyAlignment="1" applyProtection="1">
      <alignment vertical="center"/>
      <protection locked="0"/>
    </xf>
    <xf numFmtId="177" fontId="29" fillId="7" borderId="125" xfId="5" applyNumberFormat="1" applyFill="1" applyBorder="1" applyAlignment="1" applyProtection="1">
      <alignment vertical="center"/>
      <protection locked="0"/>
    </xf>
    <xf numFmtId="0" fontId="31" fillId="0" borderId="51" xfId="5" applyFont="1" applyBorder="1" applyAlignment="1" applyProtection="1">
      <alignment horizontal="left" vertical="center" indent="1"/>
      <protection hidden="1"/>
    </xf>
    <xf numFmtId="177" fontId="31" fillId="6" borderId="126" xfId="5" applyNumberFormat="1" applyFont="1" applyFill="1" applyBorder="1" applyAlignment="1" applyProtection="1">
      <alignment horizontal="right" vertical="center"/>
      <protection hidden="1"/>
    </xf>
    <xf numFmtId="177" fontId="31" fillId="6" borderId="127" xfId="5" applyNumberFormat="1" applyFont="1" applyFill="1" applyBorder="1" applyAlignment="1" applyProtection="1">
      <alignment horizontal="right" vertical="center"/>
      <protection hidden="1"/>
    </xf>
    <xf numFmtId="0" fontId="31" fillId="0" borderId="0" xfId="5" applyFont="1" applyAlignment="1" applyProtection="1">
      <alignment horizontal="left" vertical="center" indent="1"/>
      <protection hidden="1"/>
    </xf>
    <xf numFmtId="0" fontId="29" fillId="0" borderId="119" xfId="5" applyBorder="1" applyAlignment="1" applyProtection="1">
      <alignment horizontal="center" vertical="center"/>
      <protection hidden="1"/>
    </xf>
    <xf numFmtId="0" fontId="29" fillId="0" borderId="66" xfId="5" applyBorder="1" applyAlignment="1" applyProtection="1">
      <alignment horizontal="center" vertical="center"/>
      <protection hidden="1"/>
    </xf>
    <xf numFmtId="0" fontId="0" fillId="0" borderId="119" xfId="0" applyBorder="1" applyProtection="1">
      <protection hidden="1"/>
    </xf>
    <xf numFmtId="177" fontId="29" fillId="7" borderId="124" xfId="5" applyNumberFormat="1" applyFill="1" applyBorder="1" applyAlignment="1" applyProtection="1">
      <alignment horizontal="center" vertical="center"/>
      <protection locked="0"/>
    </xf>
    <xf numFmtId="0" fontId="31" fillId="0" borderId="22" xfId="5" applyFont="1" applyBorder="1" applyAlignment="1" applyProtection="1">
      <alignment horizontal="left" vertical="center" indent="1"/>
      <protection hidden="1"/>
    </xf>
    <xf numFmtId="10" fontId="29" fillId="0" borderId="114" xfId="3" applyNumberFormat="1" applyFont="1" applyFill="1" applyBorder="1" applyAlignment="1" applyProtection="1">
      <alignment vertical="center"/>
    </xf>
    <xf numFmtId="177" fontId="29" fillId="0" borderId="121" xfId="5" applyNumberFormat="1" applyBorder="1" applyAlignment="1">
      <alignment vertical="center"/>
    </xf>
    <xf numFmtId="0" fontId="31" fillId="0" borderId="54" xfId="5" applyFont="1" applyBorder="1" applyAlignment="1" applyProtection="1">
      <alignment horizontal="left" vertical="center"/>
      <protection hidden="1"/>
    </xf>
    <xf numFmtId="177" fontId="31" fillId="6" borderId="131" xfId="5" applyNumberFormat="1" applyFont="1" applyFill="1" applyBorder="1" applyAlignment="1" applyProtection="1">
      <alignment horizontal="right" vertical="center"/>
      <protection hidden="1"/>
    </xf>
    <xf numFmtId="177" fontId="31" fillId="6" borderId="132" xfId="5" applyNumberFormat="1" applyFont="1" applyFill="1" applyBorder="1" applyAlignment="1" applyProtection="1">
      <alignment horizontal="right" vertical="center"/>
      <protection hidden="1"/>
    </xf>
    <xf numFmtId="0" fontId="29" fillId="0" borderId="0" xfId="5" applyAlignment="1" applyProtection="1">
      <alignment horizontal="center" vertical="center"/>
      <protection locked="0"/>
    </xf>
    <xf numFmtId="10" fontId="29" fillId="0" borderId="135" xfId="3" applyNumberFormat="1" applyFont="1" applyFill="1" applyBorder="1" applyAlignment="1" applyProtection="1">
      <alignment vertical="center"/>
    </xf>
    <xf numFmtId="177" fontId="29" fillId="0" borderId="122" xfId="5" applyNumberFormat="1" applyBorder="1" applyAlignment="1">
      <alignment vertical="center"/>
    </xf>
    <xf numFmtId="0" fontId="31" fillId="0" borderId="24" xfId="5" applyFont="1" applyBorder="1" applyAlignment="1" applyProtection="1">
      <alignment horizontal="left" vertical="center" indent="1"/>
      <protection hidden="1"/>
    </xf>
    <xf numFmtId="0" fontId="31" fillId="0" borderId="137" xfId="5" applyFont="1" applyBorder="1" applyAlignment="1" applyProtection="1">
      <alignment horizontal="left" vertical="center"/>
      <protection hidden="1"/>
    </xf>
    <xf numFmtId="0" fontId="29" fillId="0" borderId="6" xfId="5" applyBorder="1" applyAlignment="1" applyProtection="1">
      <alignment horizontal="center" vertical="center"/>
      <protection hidden="1"/>
    </xf>
    <xf numFmtId="0" fontId="31" fillId="0" borderId="0" xfId="5" applyFont="1" applyAlignment="1" applyProtection="1">
      <alignment horizontal="left" vertical="center"/>
      <protection hidden="1"/>
    </xf>
    <xf numFmtId="0" fontId="31" fillId="0" borderId="44" xfId="5" applyFont="1" applyBorder="1" applyAlignment="1" applyProtection="1">
      <alignment horizontal="left" vertical="center" indent="1"/>
      <protection hidden="1"/>
    </xf>
    <xf numFmtId="0" fontId="29" fillId="0" borderId="68" xfId="5" applyBorder="1" applyAlignment="1" applyProtection="1">
      <alignment vertical="center"/>
      <protection hidden="1"/>
    </xf>
    <xf numFmtId="0" fontId="29" fillId="0" borderId="69" xfId="5" applyBorder="1" applyAlignment="1" applyProtection="1">
      <alignment vertical="center"/>
      <protection hidden="1"/>
    </xf>
    <xf numFmtId="0" fontId="31" fillId="0" borderId="68" xfId="5" applyFont="1" applyBorder="1" applyAlignment="1" applyProtection="1">
      <alignment vertical="center"/>
      <protection hidden="1"/>
    </xf>
    <xf numFmtId="0" fontId="31" fillId="0" borderId="56" xfId="5" applyFont="1" applyBorder="1" applyAlignment="1" applyProtection="1">
      <alignment vertical="center"/>
      <protection hidden="1"/>
    </xf>
    <xf numFmtId="0" fontId="32" fillId="4" borderId="118" xfId="5" applyFont="1" applyFill="1" applyBorder="1" applyAlignment="1" applyProtection="1">
      <alignment vertical="center"/>
      <protection hidden="1"/>
    </xf>
    <xf numFmtId="0" fontId="32" fillId="4" borderId="117" xfId="5" applyFont="1" applyFill="1" applyBorder="1" applyAlignment="1" applyProtection="1">
      <alignment vertical="center"/>
      <protection hidden="1"/>
    </xf>
    <xf numFmtId="0" fontId="29" fillId="0" borderId="139" xfId="5" applyBorder="1" applyAlignment="1" applyProtection="1">
      <alignment vertical="center"/>
      <protection hidden="1"/>
    </xf>
    <xf numFmtId="0" fontId="29" fillId="0" borderId="140" xfId="5" applyBorder="1" applyAlignment="1" applyProtection="1">
      <alignment vertical="center"/>
      <protection hidden="1"/>
    </xf>
    <xf numFmtId="0" fontId="31" fillId="0" borderId="139" xfId="5" applyFont="1" applyBorder="1" applyAlignment="1" applyProtection="1">
      <alignment vertical="center"/>
      <protection hidden="1"/>
    </xf>
    <xf numFmtId="0" fontId="29" fillId="0" borderId="67" xfId="5" applyBorder="1" applyAlignment="1" applyProtection="1">
      <alignment vertical="center"/>
      <protection hidden="1"/>
    </xf>
    <xf numFmtId="0" fontId="35" fillId="0" borderId="0" xfId="5" applyFont="1" applyAlignment="1" applyProtection="1">
      <alignment vertical="center"/>
      <protection hidden="1"/>
    </xf>
    <xf numFmtId="0" fontId="29" fillId="0" borderId="0" xfId="5" applyAlignment="1" applyProtection="1">
      <alignment horizontal="left" vertical="center"/>
      <protection hidden="1"/>
    </xf>
    <xf numFmtId="0" fontId="29" fillId="7" borderId="122" xfId="5" applyFill="1" applyBorder="1" applyAlignment="1" applyProtection="1">
      <alignment horizontal="center" vertical="center"/>
      <protection locked="0"/>
    </xf>
    <xf numFmtId="0" fontId="29" fillId="7" borderId="18" xfId="5" applyFill="1" applyBorder="1" applyAlignment="1" applyProtection="1">
      <alignment horizontal="center" vertical="center"/>
      <protection locked="0"/>
    </xf>
    <xf numFmtId="177" fontId="29" fillId="7" borderId="122" xfId="5" applyNumberFormat="1" applyFill="1" applyBorder="1" applyAlignment="1" applyProtection="1">
      <alignment horizontal="center" vertical="center"/>
      <protection locked="0"/>
    </xf>
    <xf numFmtId="10" fontId="29" fillId="7" borderId="18" xfId="3" applyNumberFormat="1" applyFont="1" applyFill="1" applyBorder="1" applyAlignment="1" applyProtection="1">
      <alignment horizontal="center" vertical="center"/>
      <protection locked="0"/>
    </xf>
    <xf numFmtId="177" fontId="29" fillId="7" borderId="141" xfId="5" applyNumberFormat="1" applyFill="1" applyBorder="1" applyAlignment="1" applyProtection="1">
      <alignment horizontal="center" vertical="center"/>
      <protection locked="0"/>
    </xf>
    <xf numFmtId="10" fontId="29" fillId="0" borderId="0" xfId="5" applyNumberFormat="1" applyAlignment="1" applyProtection="1">
      <alignment vertical="center"/>
      <protection hidden="1"/>
    </xf>
    <xf numFmtId="10" fontId="29" fillId="0" borderId="0" xfId="3" applyNumberFormat="1" applyFont="1" applyAlignment="1" applyProtection="1">
      <alignment vertical="center"/>
      <protection hidden="1"/>
    </xf>
    <xf numFmtId="178" fontId="29" fillId="0" borderId="0" xfId="6" applyFont="1" applyAlignment="1" applyProtection="1">
      <alignment vertical="center"/>
      <protection hidden="1"/>
    </xf>
    <xf numFmtId="178" fontId="29" fillId="0" borderId="0" xfId="5" applyNumberFormat="1" applyAlignment="1" applyProtection="1">
      <alignment vertical="center"/>
      <protection hidden="1"/>
    </xf>
    <xf numFmtId="179" fontId="29" fillId="0" borderId="0" xfId="5" applyNumberFormat="1" applyAlignment="1" applyProtection="1">
      <alignment vertical="center"/>
      <protection hidden="1"/>
    </xf>
    <xf numFmtId="0" fontId="29" fillId="7" borderId="59" xfId="5" applyFill="1" applyBorder="1" applyAlignment="1" applyProtection="1">
      <alignment horizontal="center" vertical="center"/>
      <protection locked="0"/>
    </xf>
    <xf numFmtId="0" fontId="29" fillId="7" borderId="21" xfId="5" applyFill="1" applyBorder="1" applyAlignment="1" applyProtection="1">
      <alignment horizontal="center" vertical="center"/>
      <protection locked="0"/>
    </xf>
    <xf numFmtId="10" fontId="29" fillId="7" borderId="21" xfId="3" applyNumberFormat="1" applyFont="1" applyFill="1" applyBorder="1" applyAlignment="1" applyProtection="1">
      <alignment horizontal="center" vertical="center"/>
      <protection locked="0"/>
    </xf>
    <xf numFmtId="177" fontId="29" fillId="7" borderId="47" xfId="5" applyNumberFormat="1" applyFill="1" applyBorder="1" applyAlignment="1" applyProtection="1">
      <alignment horizontal="center" vertical="center"/>
      <protection locked="0"/>
    </xf>
    <xf numFmtId="0" fontId="29" fillId="0" borderId="51" xfId="5" applyBorder="1" applyAlignment="1" applyProtection="1">
      <alignment horizontal="center" vertical="center"/>
      <protection hidden="1"/>
    </xf>
    <xf numFmtId="0" fontId="29" fillId="7" borderId="28" xfId="5" applyFill="1" applyBorder="1" applyAlignment="1" applyProtection="1">
      <alignment horizontal="center" vertical="center"/>
      <protection locked="0"/>
    </xf>
    <xf numFmtId="177" fontId="29" fillId="7" borderId="61" xfId="5" applyNumberFormat="1" applyFill="1" applyBorder="1" applyAlignment="1" applyProtection="1">
      <alignment horizontal="center" vertical="center"/>
      <protection locked="0"/>
    </xf>
    <xf numFmtId="10" fontId="29" fillId="7" borderId="28" xfId="3" applyNumberFormat="1" applyFont="1" applyFill="1" applyBorder="1" applyAlignment="1" applyProtection="1">
      <alignment horizontal="center" vertical="center"/>
      <protection locked="0"/>
    </xf>
    <xf numFmtId="177" fontId="29" fillId="7" borderId="52" xfId="5" applyNumberFormat="1" applyFill="1" applyBorder="1" applyAlignment="1" applyProtection="1">
      <alignment horizontal="center" vertical="center"/>
      <protection locked="0"/>
    </xf>
    <xf numFmtId="0" fontId="29" fillId="7" borderId="70" xfId="5" applyFill="1" applyBorder="1" applyAlignment="1" applyProtection="1">
      <alignment horizontal="center" vertical="center"/>
      <protection locked="0" hidden="1"/>
    </xf>
    <xf numFmtId="0" fontId="29" fillId="7" borderId="141" xfId="5" applyFill="1" applyBorder="1" applyAlignment="1" applyProtection="1">
      <alignment horizontal="center" vertical="center"/>
      <protection locked="0"/>
    </xf>
    <xf numFmtId="10" fontId="29" fillId="0" borderId="0" xfId="3" applyNumberFormat="1" applyFont="1" applyFill="1" applyAlignment="1" applyProtection="1">
      <alignment vertical="center"/>
      <protection hidden="1"/>
    </xf>
    <xf numFmtId="178" fontId="29" fillId="0" borderId="0" xfId="6" applyFont="1" applyFill="1" applyAlignment="1" applyProtection="1">
      <alignment vertical="center"/>
      <protection hidden="1"/>
    </xf>
    <xf numFmtId="179" fontId="29" fillId="3" borderId="0" xfId="5" applyNumberFormat="1" applyFill="1" applyAlignment="1" applyProtection="1">
      <alignment vertical="center"/>
      <protection hidden="1"/>
    </xf>
    <xf numFmtId="165" fontId="20" fillId="0" borderId="0" xfId="1" applyNumberFormat="1" applyFont="1" applyProtection="1">
      <protection hidden="1"/>
    </xf>
    <xf numFmtId="44" fontId="0" fillId="8" borderId="0" xfId="2" applyFont="1" applyFill="1" applyProtection="1">
      <protection hidden="1"/>
    </xf>
    <xf numFmtId="0" fontId="29" fillId="7" borderId="20" xfId="5" applyFill="1" applyBorder="1" applyAlignment="1" applyProtection="1">
      <alignment horizontal="center" vertical="center"/>
      <protection locked="0" hidden="1"/>
    </xf>
    <xf numFmtId="0" fontId="29" fillId="7" borderId="47" xfId="5" applyFill="1" applyBorder="1" applyAlignment="1" applyProtection="1">
      <alignment horizontal="center" vertical="center"/>
      <protection locked="0"/>
    </xf>
    <xf numFmtId="0" fontId="29" fillId="7" borderId="142" xfId="5" applyFill="1" applyBorder="1" applyAlignment="1" applyProtection="1">
      <alignment horizontal="center" vertical="center"/>
      <protection locked="0" hidden="1"/>
    </xf>
    <xf numFmtId="177" fontId="29" fillId="7" borderId="21" xfId="5" applyNumberFormat="1" applyFill="1" applyBorder="1" applyAlignment="1" applyProtection="1">
      <alignment horizontal="center" vertical="center"/>
      <protection locked="0"/>
    </xf>
    <xf numFmtId="10" fontId="29" fillId="7" borderId="59" xfId="3" applyNumberFormat="1" applyFont="1" applyFill="1" applyBorder="1" applyAlignment="1" applyProtection="1">
      <alignment horizontal="center" vertical="center"/>
      <protection locked="0"/>
    </xf>
    <xf numFmtId="0" fontId="29" fillId="7" borderId="61" xfId="5" applyFill="1" applyBorder="1" applyAlignment="1" applyProtection="1">
      <alignment horizontal="center" vertical="center"/>
      <protection locked="0"/>
    </xf>
    <xf numFmtId="177" fontId="29" fillId="7" borderId="143" xfId="5" applyNumberFormat="1" applyFill="1" applyBorder="1" applyAlignment="1" applyProtection="1">
      <alignment horizontal="center" vertical="center"/>
      <protection locked="0"/>
    </xf>
    <xf numFmtId="0" fontId="29" fillId="7" borderId="52" xfId="5" applyFill="1" applyBorder="1" applyAlignment="1" applyProtection="1">
      <alignment horizontal="center" vertical="center"/>
      <protection locked="0"/>
    </xf>
    <xf numFmtId="0" fontId="29" fillId="0" borderId="0" xfId="5" applyAlignment="1">
      <alignment horizontal="center" vertical="center"/>
    </xf>
    <xf numFmtId="177" fontId="29" fillId="0" borderId="0" xfId="5" applyNumberFormat="1" applyAlignment="1">
      <alignment horizontal="center" vertical="center"/>
    </xf>
    <xf numFmtId="10" fontId="29" fillId="0" borderId="0" xfId="3" applyNumberFormat="1" applyFont="1" applyFill="1" applyBorder="1" applyAlignment="1" applyProtection="1">
      <alignment horizontal="left" vertical="center"/>
    </xf>
    <xf numFmtId="0" fontId="3" fillId="14" borderId="0" xfId="0" applyFont="1" applyFill="1" applyProtection="1">
      <protection hidden="1"/>
    </xf>
    <xf numFmtId="179" fontId="0" fillId="14" borderId="0" xfId="0" applyNumberFormat="1" applyFill="1" applyProtection="1">
      <protection hidden="1"/>
    </xf>
    <xf numFmtId="10" fontId="0" fillId="14" borderId="0" xfId="0" applyNumberFormat="1" applyFill="1" applyProtection="1">
      <protection hidden="1"/>
    </xf>
    <xf numFmtId="0" fontId="31" fillId="0" borderId="0" xfId="0" applyFont="1"/>
    <xf numFmtId="0" fontId="36" fillId="0" borderId="0" xfId="5" applyFont="1" applyAlignment="1" applyProtection="1">
      <alignment horizontal="center" vertical="center"/>
      <protection hidden="1"/>
    </xf>
    <xf numFmtId="0" fontId="37" fillId="0" borderId="0" xfId="0" applyFont="1"/>
    <xf numFmtId="179" fontId="3" fillId="0" borderId="0" xfId="0" applyNumberFormat="1" applyFont="1" applyProtection="1">
      <protection hidden="1"/>
    </xf>
    <xf numFmtId="0" fontId="29" fillId="0" borderId="0" xfId="5" applyAlignment="1" applyProtection="1">
      <alignment horizontal="left" vertical="center" indent="1"/>
      <protection hidden="1"/>
    </xf>
    <xf numFmtId="0" fontId="38" fillId="0" borderId="0" xfId="5" applyFont="1" applyAlignment="1" applyProtection="1">
      <alignment horizontal="right" vertical="center" indent="1"/>
      <protection hidden="1"/>
    </xf>
    <xf numFmtId="177" fontId="29" fillId="6" borderId="144" xfId="5" applyNumberFormat="1" applyFill="1" applyBorder="1" applyAlignment="1" applyProtection="1">
      <alignment horizontal="center" vertical="center"/>
      <protection hidden="1"/>
    </xf>
    <xf numFmtId="0" fontId="38" fillId="0" borderId="0" xfId="5" applyFont="1" applyAlignment="1" applyProtection="1">
      <alignment horizontal="left" vertical="center" indent="1"/>
      <protection hidden="1"/>
    </xf>
    <xf numFmtId="0" fontId="39" fillId="0" borderId="0" xfId="5" applyFont="1" applyAlignment="1" applyProtection="1">
      <alignment horizontal="left" vertical="center" indent="1"/>
      <protection hidden="1"/>
    </xf>
    <xf numFmtId="2" fontId="31" fillId="6" borderId="144" xfId="5" applyNumberFormat="1" applyFont="1" applyFill="1" applyBorder="1" applyAlignment="1" applyProtection="1">
      <alignment horizontal="center" vertical="center"/>
      <protection hidden="1"/>
    </xf>
    <xf numFmtId="0" fontId="40" fillId="0" borderId="0" xfId="5" applyFont="1" applyAlignment="1" applyProtection="1">
      <alignment vertical="center"/>
      <protection hidden="1"/>
    </xf>
    <xf numFmtId="0" fontId="37" fillId="0" borderId="0" xfId="5" applyFont="1" applyAlignment="1" applyProtection="1">
      <alignment vertical="center"/>
      <protection hidden="1"/>
    </xf>
    <xf numFmtId="0" fontId="41" fillId="0" borderId="0" xfId="0" applyFont="1" applyProtection="1">
      <protection hidden="1"/>
    </xf>
    <xf numFmtId="0" fontId="42" fillId="0" borderId="0" xfId="0" applyFont="1"/>
    <xf numFmtId="177" fontId="31" fillId="6" borderId="145" xfId="5" applyNumberFormat="1" applyFont="1" applyFill="1" applyBorder="1" applyAlignment="1" applyProtection="1">
      <alignment horizontal="center" vertical="center"/>
      <protection hidden="1"/>
    </xf>
    <xf numFmtId="177" fontId="31" fillId="6" borderId="144" xfId="5" applyNumberFormat="1" applyFont="1" applyFill="1" applyBorder="1" applyAlignment="1" applyProtection="1">
      <alignment horizontal="center" vertical="center"/>
      <protection hidden="1"/>
    </xf>
    <xf numFmtId="177" fontId="2" fillId="6" borderId="1" xfId="4" applyNumberFormat="1" applyFill="1" applyAlignment="1" applyProtection="1">
      <alignment horizontal="center" vertical="center"/>
      <protection hidden="1"/>
    </xf>
    <xf numFmtId="177" fontId="31" fillId="6" borderId="146" xfId="5" applyNumberFormat="1" applyFont="1" applyFill="1" applyBorder="1" applyAlignment="1" applyProtection="1">
      <alignment horizontal="center" vertical="center"/>
      <protection hidden="1"/>
    </xf>
    <xf numFmtId="2" fontId="2" fillId="6" borderId="1" xfId="4" applyNumberFormat="1" applyFill="1" applyAlignment="1" applyProtection="1">
      <alignment horizontal="center" vertical="center"/>
      <protection hidden="1"/>
    </xf>
    <xf numFmtId="0" fontId="29" fillId="0" borderId="147" xfId="5" applyBorder="1" applyAlignment="1" applyProtection="1">
      <alignment vertical="center"/>
      <protection hidden="1"/>
    </xf>
    <xf numFmtId="0" fontId="29" fillId="0" borderId="148" xfId="5" applyBorder="1" applyAlignment="1" applyProtection="1">
      <alignment vertical="center"/>
      <protection hidden="1"/>
    </xf>
    <xf numFmtId="0" fontId="29" fillId="0" borderId="149" xfId="5" applyBorder="1" applyAlignment="1" applyProtection="1">
      <alignment vertical="center"/>
      <protection hidden="1"/>
    </xf>
    <xf numFmtId="0" fontId="43" fillId="0" borderId="0" xfId="5" applyFont="1" applyAlignment="1" applyProtection="1">
      <alignment vertical="center"/>
      <protection hidden="1"/>
    </xf>
    <xf numFmtId="169" fontId="44" fillId="0" borderId="0" xfId="1" applyNumberFormat="1" applyFont="1" applyProtection="1">
      <protection hidden="1"/>
    </xf>
    <xf numFmtId="169" fontId="44" fillId="0" borderId="0" xfId="1" applyNumberFormat="1" applyFont="1" applyBorder="1" applyProtection="1">
      <protection hidden="1"/>
    </xf>
    <xf numFmtId="0" fontId="44" fillId="0" borderId="0" xfId="0" applyFont="1" applyProtection="1">
      <protection hidden="1"/>
    </xf>
    <xf numFmtId="0" fontId="29" fillId="0" borderId="56" xfId="5" applyBorder="1" applyAlignment="1" applyProtection="1">
      <alignment vertical="center"/>
      <protection hidden="1"/>
    </xf>
    <xf numFmtId="169" fontId="44" fillId="0" borderId="56" xfId="1" applyNumberFormat="1" applyFont="1" applyBorder="1" applyProtection="1">
      <protection hidden="1"/>
    </xf>
    <xf numFmtId="0" fontId="44" fillId="0" borderId="56" xfId="0" applyFont="1" applyBorder="1" applyProtection="1">
      <protection hidden="1"/>
    </xf>
    <xf numFmtId="169" fontId="44" fillId="0" borderId="0" xfId="0" applyNumberFormat="1" applyFont="1" applyProtection="1">
      <protection hidden="1"/>
    </xf>
    <xf numFmtId="9" fontId="0" fillId="0" borderId="0" xfId="0" applyNumberFormat="1" applyProtection="1">
      <protection hidden="1"/>
    </xf>
    <xf numFmtId="0" fontId="4" fillId="0" borderId="0" xfId="0" applyFont="1"/>
    <xf numFmtId="167" fontId="0" fillId="7" borderId="0" xfId="0" applyNumberFormat="1" applyFill="1"/>
    <xf numFmtId="9" fontId="0" fillId="7" borderId="0" xfId="0" applyNumberFormat="1" applyFill="1"/>
    <xf numFmtId="0" fontId="0" fillId="0" borderId="113" xfId="0" applyBorder="1"/>
    <xf numFmtId="0" fontId="0" fillId="0" borderId="114" xfId="0" applyBorder="1"/>
    <xf numFmtId="0" fontId="0" fillId="0" borderId="115" xfId="0" applyBorder="1"/>
    <xf numFmtId="0" fontId="46" fillId="6" borderId="0" xfId="0" applyFont="1" applyFill="1" applyAlignment="1" applyProtection="1">
      <alignment horizontal="right"/>
      <protection locked="0"/>
    </xf>
    <xf numFmtId="10" fontId="0" fillId="7" borderId="0" xfId="0" applyNumberFormat="1" applyFill="1"/>
    <xf numFmtId="0" fontId="3" fillId="0" borderId="66" xfId="0" applyFont="1" applyBorder="1"/>
    <xf numFmtId="10" fontId="0" fillId="7" borderId="119" xfId="0" applyNumberFormat="1" applyFill="1" applyBorder="1"/>
    <xf numFmtId="16" fontId="46" fillId="6" borderId="0" xfId="0" applyNumberFormat="1" applyFont="1" applyFill="1" applyProtection="1">
      <protection locked="0"/>
    </xf>
    <xf numFmtId="0" fontId="3" fillId="0" borderId="68" xfId="0" applyFont="1" applyBorder="1"/>
    <xf numFmtId="10" fontId="0" fillId="7" borderId="56" xfId="0" applyNumberFormat="1" applyFill="1" applyBorder="1"/>
    <xf numFmtId="10" fontId="0" fillId="7" borderId="69" xfId="0" applyNumberFormat="1" applyFill="1" applyBorder="1"/>
    <xf numFmtId="0" fontId="23" fillId="0" borderId="0" xfId="0" applyFont="1"/>
    <xf numFmtId="10" fontId="0" fillId="0" borderId="0" xfId="0" applyNumberFormat="1"/>
    <xf numFmtId="9" fontId="0" fillId="7" borderId="0" xfId="0" applyNumberFormat="1" applyFill="1" applyAlignment="1">
      <alignment horizontal="center" wrapText="1"/>
    </xf>
    <xf numFmtId="9" fontId="0" fillId="7" borderId="0" xfId="0" applyNumberFormat="1" applyFill="1" applyAlignment="1">
      <alignment wrapText="1"/>
    </xf>
    <xf numFmtId="0" fontId="0" fillId="9" borderId="0" xfId="0" applyFill="1"/>
    <xf numFmtId="0" fontId="3" fillId="7" borderId="0" xfId="0" applyFont="1" applyFill="1" applyAlignment="1">
      <alignment wrapText="1"/>
    </xf>
    <xf numFmtId="9" fontId="0" fillId="0" borderId="0" xfId="0" applyNumberFormat="1"/>
    <xf numFmtId="0" fontId="0" fillId="7" borderId="0" xfId="0" applyFill="1"/>
    <xf numFmtId="0" fontId="3" fillId="9" borderId="0" xfId="0" applyFont="1" applyFill="1"/>
    <xf numFmtId="165" fontId="0" fillId="7" borderId="0" xfId="1" applyNumberFormat="1" applyFont="1" applyFill="1" applyAlignment="1">
      <alignment wrapText="1"/>
    </xf>
    <xf numFmtId="0" fontId="0" fillId="20" borderId="0" xfId="0" applyFill="1"/>
    <xf numFmtId="0" fontId="3" fillId="8" borderId="0" xfId="0" applyFont="1" applyFill="1"/>
    <xf numFmtId="0" fontId="0" fillId="0" borderId="0" xfId="0" applyAlignment="1">
      <alignment wrapText="1"/>
    </xf>
    <xf numFmtId="165" fontId="0" fillId="7" borderId="0" xfId="1" applyNumberFormat="1" applyFont="1" applyFill="1"/>
    <xf numFmtId="167" fontId="0" fillId="7" borderId="0" xfId="3" applyNumberFormat="1" applyFont="1" applyFill="1" applyAlignment="1">
      <alignment wrapText="1"/>
    </xf>
    <xf numFmtId="165" fontId="0" fillId="0" borderId="0" xfId="1" applyNumberFormat="1" applyFont="1"/>
    <xf numFmtId="167" fontId="0" fillId="7" borderId="0" xfId="3" applyNumberFormat="1" applyFont="1" applyFill="1"/>
    <xf numFmtId="9" fontId="3" fillId="0" borderId="0" xfId="0" applyNumberFormat="1" applyFont="1"/>
    <xf numFmtId="165" fontId="0" fillId="0" borderId="0" xfId="1" applyNumberFormat="1" applyFont="1" applyFill="1"/>
    <xf numFmtId="180" fontId="0" fillId="0" borderId="0" xfId="0" applyNumberFormat="1"/>
    <xf numFmtId="164" fontId="0" fillId="0" borderId="0" xfId="0" applyNumberFormat="1"/>
    <xf numFmtId="0" fontId="3" fillId="0" borderId="0" xfId="0" applyFont="1" applyAlignment="1">
      <alignment wrapText="1"/>
    </xf>
    <xf numFmtId="181" fontId="0" fillId="0" borderId="0" xfId="0" applyNumberFormat="1"/>
    <xf numFmtId="0" fontId="47" fillId="0" borderId="0" xfId="0" applyFont="1"/>
    <xf numFmtId="0" fontId="47" fillId="8" borderId="0" xfId="0" applyFont="1" applyFill="1"/>
    <xf numFmtId="0" fontId="47" fillId="21" borderId="0" xfId="0" applyFont="1" applyFill="1"/>
    <xf numFmtId="0" fontId="0" fillId="21" borderId="0" xfId="0" applyFill="1"/>
    <xf numFmtId="0" fontId="48" fillId="21" borderId="0" xfId="0" applyFont="1" applyFill="1"/>
    <xf numFmtId="0" fontId="48" fillId="0" borderId="0" xfId="0" applyFont="1"/>
    <xf numFmtId="0" fontId="3" fillId="21" borderId="0" xfId="0" applyFont="1" applyFill="1"/>
    <xf numFmtId="0" fontId="4" fillId="21" borderId="0" xfId="0" applyFont="1" applyFill="1"/>
    <xf numFmtId="0" fontId="49" fillId="21" borderId="0" xfId="0" applyFont="1" applyFill="1"/>
    <xf numFmtId="0" fontId="50" fillId="21" borderId="0" xfId="0" applyFont="1" applyFill="1"/>
    <xf numFmtId="0" fontId="4" fillId="21" borderId="0" xfId="0" applyFont="1" applyFill="1" applyAlignment="1">
      <alignment horizontal="center"/>
    </xf>
    <xf numFmtId="0" fontId="4" fillId="0" borderId="0" xfId="0" applyFont="1" applyAlignment="1">
      <alignment horizontal="center"/>
    </xf>
    <xf numFmtId="0" fontId="20" fillId="21" borderId="56" xfId="0" applyFont="1" applyFill="1" applyBorder="1" applyAlignment="1">
      <alignment horizontal="left"/>
    </xf>
    <xf numFmtId="0" fontId="3" fillId="21" borderId="0" xfId="0" applyFont="1" applyFill="1" applyAlignment="1">
      <alignment horizontal="left"/>
    </xf>
    <xf numFmtId="0" fontId="31" fillId="21" borderId="0" xfId="8" applyFont="1" applyFill="1"/>
    <xf numFmtId="0" fontId="23" fillId="21" borderId="0" xfId="0" applyFont="1" applyFill="1" applyAlignment="1">
      <alignment wrapText="1"/>
    </xf>
    <xf numFmtId="0" fontId="51" fillId="21" borderId="117" xfId="0" applyFont="1" applyFill="1" applyBorder="1" applyAlignment="1">
      <alignment horizontal="left" vertical="center"/>
    </xf>
    <xf numFmtId="0" fontId="3" fillId="21" borderId="117" xfId="0" applyFont="1" applyFill="1" applyBorder="1" applyAlignment="1">
      <alignment horizontal="left"/>
    </xf>
    <xf numFmtId="0" fontId="51" fillId="0" borderId="117" xfId="0" applyFont="1" applyBorder="1" applyAlignment="1">
      <alignment horizontal="left" vertical="center"/>
    </xf>
    <xf numFmtId="0" fontId="3" fillId="0" borderId="117" xfId="0" applyFont="1" applyBorder="1" applyAlignment="1">
      <alignment horizontal="left"/>
    </xf>
    <xf numFmtId="180" fontId="51" fillId="21" borderId="114" xfId="0" applyNumberFormat="1" applyFont="1" applyFill="1" applyBorder="1" applyAlignment="1">
      <alignment horizontal="left"/>
    </xf>
    <xf numFmtId="180" fontId="51" fillId="0" borderId="114" xfId="0" applyNumberFormat="1" applyFont="1" applyBorder="1" applyAlignment="1">
      <alignment horizontal="left"/>
    </xf>
    <xf numFmtId="0" fontId="51" fillId="21" borderId="0" xfId="0" applyFont="1" applyFill="1" applyAlignment="1">
      <alignment horizontal="left" vertical="center"/>
    </xf>
    <xf numFmtId="0" fontId="51" fillId="0" borderId="0" xfId="0" applyFont="1" applyAlignment="1">
      <alignment horizontal="left" vertical="center"/>
    </xf>
    <xf numFmtId="0" fontId="51" fillId="21" borderId="56" xfId="0" applyFont="1" applyFill="1" applyBorder="1" applyAlignment="1">
      <alignment horizontal="left" vertical="top"/>
    </xf>
    <xf numFmtId="180" fontId="51" fillId="21" borderId="56" xfId="0" applyNumberFormat="1" applyFont="1" applyFill="1" applyBorder="1" applyAlignment="1">
      <alignment horizontal="left" vertical="top"/>
    </xf>
    <xf numFmtId="0" fontId="51" fillId="0" borderId="56" xfId="0" applyFont="1" applyBorder="1" applyAlignment="1">
      <alignment horizontal="left" vertical="top"/>
    </xf>
    <xf numFmtId="180" fontId="51" fillId="0" borderId="56" xfId="0" applyNumberFormat="1" applyFont="1" applyBorder="1" applyAlignment="1">
      <alignment horizontal="left" vertical="top"/>
    </xf>
    <xf numFmtId="164" fontId="0" fillId="21" borderId="0" xfId="1" applyFont="1" applyFill="1"/>
    <xf numFmtId="0" fontId="51" fillId="0" borderId="0" xfId="0" applyFont="1" applyAlignment="1">
      <alignment horizontal="left" vertical="top"/>
    </xf>
    <xf numFmtId="180" fontId="51" fillId="0" borderId="0" xfId="0" applyNumberFormat="1" applyFont="1" applyAlignment="1">
      <alignment horizontal="left" vertical="top"/>
    </xf>
    <xf numFmtId="181" fontId="0" fillId="0" borderId="0" xfId="6" applyNumberFormat="1" applyFont="1" applyFill="1"/>
    <xf numFmtId="178" fontId="0" fillId="0" borderId="0" xfId="6" applyFont="1" applyFill="1"/>
    <xf numFmtId="164" fontId="0" fillId="0" borderId="0" xfId="1" applyFont="1"/>
    <xf numFmtId="0" fontId="0" fillId="8" borderId="0" xfId="0" applyFill="1"/>
    <xf numFmtId="0" fontId="4" fillId="0" borderId="80" xfId="0" applyFont="1" applyBorder="1"/>
    <xf numFmtId="0" fontId="4" fillId="0" borderId="150" xfId="0" applyFont="1" applyBorder="1"/>
    <xf numFmtId="0" fontId="4" fillId="0" borderId="151" xfId="0" applyFont="1" applyBorder="1"/>
    <xf numFmtId="0" fontId="4" fillId="0" borderId="152" xfId="0" applyFont="1" applyBorder="1"/>
    <xf numFmtId="0" fontId="3" fillId="0" borderId="153" xfId="0" applyFont="1" applyBorder="1"/>
    <xf numFmtId="0" fontId="0" fillId="0" borderId="154" xfId="0" applyBorder="1"/>
    <xf numFmtId="0" fontId="52" fillId="0" borderId="155" xfId="0" applyFont="1" applyBorder="1"/>
    <xf numFmtId="0" fontId="52" fillId="4" borderId="156" xfId="0" applyFont="1" applyFill="1" applyBorder="1"/>
    <xf numFmtId="0" fontId="3" fillId="0" borderId="157" xfId="0" applyFont="1" applyBorder="1"/>
    <xf numFmtId="0" fontId="45" fillId="0" borderId="0" xfId="7"/>
    <xf numFmtId="0" fontId="3" fillId="0" borderId="158" xfId="0" applyFont="1" applyBorder="1"/>
    <xf numFmtId="0" fontId="0" fillId="0" borderId="159" xfId="0" applyBorder="1"/>
    <xf numFmtId="0" fontId="25" fillId="0" borderId="160" xfId="0" applyFont="1" applyBorder="1"/>
    <xf numFmtId="0" fontId="25" fillId="22" borderId="118" xfId="0" applyFont="1" applyFill="1" applyBorder="1"/>
    <xf numFmtId="0" fontId="52" fillId="23" borderId="118" xfId="0" applyFont="1" applyFill="1" applyBorder="1"/>
    <xf numFmtId="0" fontId="3" fillId="0" borderId="161" xfId="0" applyFont="1" applyBorder="1"/>
    <xf numFmtId="0" fontId="0" fillId="0" borderId="162" xfId="0" applyBorder="1"/>
    <xf numFmtId="3" fontId="25" fillId="0" borderId="163" xfId="0" applyNumberFormat="1" applyFont="1" applyBorder="1"/>
    <xf numFmtId="3" fontId="25" fillId="24" borderId="118" xfId="0" applyNumberFormat="1" applyFont="1" applyFill="1" applyBorder="1"/>
    <xf numFmtId="0" fontId="52" fillId="0" borderId="163" xfId="0" applyFont="1" applyBorder="1"/>
    <xf numFmtId="0" fontId="3" fillId="0" borderId="157" xfId="0" applyFont="1" applyBorder="1" applyAlignment="1">
      <alignment wrapText="1"/>
    </xf>
    <xf numFmtId="0" fontId="25" fillId="25" borderId="0" xfId="0" applyFont="1" applyFill="1"/>
    <xf numFmtId="0" fontId="0" fillId="3" borderId="0" xfId="0" applyFill="1"/>
    <xf numFmtId="3" fontId="53" fillId="0" borderId="155" xfId="0" applyNumberFormat="1" applyFont="1" applyBorder="1" applyAlignment="1" applyProtection="1">
      <alignment horizontal="left"/>
      <protection hidden="1"/>
    </xf>
    <xf numFmtId="3" fontId="53" fillId="0" borderId="164" xfId="0" applyNumberFormat="1" applyFont="1" applyBorder="1" applyAlignment="1" applyProtection="1">
      <alignment horizontal="left"/>
      <protection hidden="1"/>
    </xf>
    <xf numFmtId="0" fontId="3" fillId="0" borderId="152" xfId="0" applyFont="1" applyBorder="1"/>
    <xf numFmtId="0" fontId="0" fillId="0" borderId="163" xfId="0" applyBorder="1"/>
    <xf numFmtId="0" fontId="3" fillId="26" borderId="0" xfId="0" applyFont="1" applyFill="1"/>
    <xf numFmtId="0" fontId="3" fillId="0" borderId="165" xfId="0" applyFont="1" applyBorder="1"/>
    <xf numFmtId="0" fontId="3" fillId="27" borderId="0" xfId="0" applyFont="1" applyFill="1"/>
    <xf numFmtId="0" fontId="0" fillId="28" borderId="0" xfId="0" applyFill="1"/>
    <xf numFmtId="0" fontId="4" fillId="0" borderId="6" xfId="0" applyFont="1" applyBorder="1" applyAlignment="1" applyProtection="1">
      <alignment horizontal="left"/>
      <protection hidden="1"/>
    </xf>
    <xf numFmtId="0" fontId="4" fillId="0" borderId="25" xfId="0" applyFont="1" applyBorder="1" applyAlignment="1" applyProtection="1">
      <alignment horizontal="center"/>
      <protection hidden="1"/>
    </xf>
    <xf numFmtId="0" fontId="4" fillId="18" borderId="76" xfId="0" applyFont="1" applyFill="1" applyBorder="1" applyAlignment="1" applyProtection="1">
      <alignment horizontal="left" vertical="center" wrapText="1" indent="1"/>
      <protection hidden="1"/>
    </xf>
    <xf numFmtId="0" fontId="4" fillId="18" borderId="77" xfId="0" applyFont="1" applyFill="1" applyBorder="1" applyAlignment="1" applyProtection="1">
      <alignment horizontal="left" vertical="center" wrapText="1" indent="1"/>
      <protection hidden="1"/>
    </xf>
    <xf numFmtId="0" fontId="4" fillId="18" borderId="78" xfId="0" applyFont="1" applyFill="1" applyBorder="1" applyAlignment="1" applyProtection="1">
      <alignment horizontal="left" vertical="center" wrapText="1" indent="1"/>
      <protection hidden="1"/>
    </xf>
    <xf numFmtId="0" fontId="16" fillId="0" borderId="0" xfId="0" applyFont="1" applyAlignment="1" applyProtection="1">
      <alignment horizontal="right" vertical="center"/>
      <protection hidden="1"/>
    </xf>
    <xf numFmtId="0" fontId="3" fillId="0" borderId="79" xfId="0" applyFont="1" applyBorder="1" applyAlignment="1" applyProtection="1">
      <alignment horizontal="right" vertical="center"/>
      <protection hidden="1"/>
    </xf>
    <xf numFmtId="0" fontId="3" fillId="6" borderId="74" xfId="0" applyFont="1" applyFill="1" applyBorder="1" applyAlignment="1" applyProtection="1">
      <alignment horizontal="center" vertical="center"/>
      <protection hidden="1"/>
    </xf>
    <xf numFmtId="0" fontId="3" fillId="6" borderId="75" xfId="0" applyFont="1" applyFill="1" applyBorder="1" applyAlignment="1" applyProtection="1">
      <alignment horizontal="center" vertical="center"/>
      <protection hidden="1"/>
    </xf>
    <xf numFmtId="0" fontId="16" fillId="19" borderId="0" xfId="0" applyFont="1" applyFill="1" applyAlignment="1" applyProtection="1">
      <alignment horizontal="right" vertical="center"/>
      <protection hidden="1"/>
    </xf>
    <xf numFmtId="9" fontId="18" fillId="4" borderId="81" xfId="3" applyFont="1" applyFill="1" applyBorder="1" applyAlignment="1" applyProtection="1">
      <alignment horizontal="center" vertical="center"/>
      <protection hidden="1"/>
    </xf>
    <xf numFmtId="9" fontId="18" fillId="4" borderId="84" xfId="3" applyFont="1" applyFill="1" applyBorder="1" applyAlignment="1" applyProtection="1">
      <alignment horizontal="center" vertical="center"/>
      <protection hidden="1"/>
    </xf>
    <xf numFmtId="0" fontId="18" fillId="4" borderId="82" xfId="0" applyFont="1" applyFill="1" applyBorder="1" applyAlignment="1" applyProtection="1">
      <alignment horizontal="center" vertical="center" wrapText="1"/>
      <protection hidden="1"/>
    </xf>
    <xf numFmtId="0" fontId="18" fillId="4" borderId="85" xfId="0" applyFont="1" applyFill="1" applyBorder="1" applyAlignment="1" applyProtection="1">
      <alignment horizontal="center" vertical="center" wrapText="1"/>
      <protection hidden="1"/>
    </xf>
    <xf numFmtId="0" fontId="4" fillId="18" borderId="86" xfId="0" applyFont="1" applyFill="1" applyBorder="1" applyAlignment="1" applyProtection="1">
      <alignment vertical="center" wrapText="1"/>
      <protection hidden="1"/>
    </xf>
    <xf numFmtId="0" fontId="4" fillId="18" borderId="67" xfId="0" applyFont="1" applyFill="1" applyBorder="1" applyAlignment="1" applyProtection="1">
      <alignment vertical="center" wrapText="1"/>
      <protection hidden="1"/>
    </xf>
    <xf numFmtId="49" fontId="17" fillId="4" borderId="80" xfId="0" applyNumberFormat="1" applyFont="1" applyFill="1" applyBorder="1" applyAlignment="1" applyProtection="1">
      <alignment horizontal="left" vertical="center" wrapText="1" indent="4"/>
      <protection hidden="1"/>
    </xf>
    <xf numFmtId="49" fontId="17" fillId="4" borderId="81" xfId="0" applyNumberFormat="1" applyFont="1" applyFill="1" applyBorder="1" applyAlignment="1" applyProtection="1">
      <alignment horizontal="left" vertical="center" wrapText="1" indent="4"/>
      <protection hidden="1"/>
    </xf>
    <xf numFmtId="49" fontId="17" fillId="4" borderId="83" xfId="0" applyNumberFormat="1" applyFont="1" applyFill="1" applyBorder="1" applyAlignment="1" applyProtection="1">
      <alignment horizontal="left" vertical="center" wrapText="1" indent="4"/>
      <protection hidden="1"/>
    </xf>
    <xf numFmtId="49" fontId="17" fillId="4" borderId="84" xfId="0" applyNumberFormat="1" applyFont="1" applyFill="1" applyBorder="1" applyAlignment="1" applyProtection="1">
      <alignment horizontal="left" vertical="center" wrapText="1" indent="4"/>
      <protection hidden="1"/>
    </xf>
    <xf numFmtId="0" fontId="3" fillId="17" borderId="86" xfId="0" applyFont="1" applyFill="1" applyBorder="1" applyAlignment="1" applyProtection="1">
      <alignment vertical="center" wrapText="1"/>
      <protection hidden="1"/>
    </xf>
    <xf numFmtId="0" fontId="3" fillId="0" borderId="67" xfId="0" applyFont="1" applyBorder="1" applyAlignment="1" applyProtection="1">
      <alignment horizontal="center" vertical="center" wrapText="1"/>
      <protection hidden="1"/>
    </xf>
    <xf numFmtId="0" fontId="4" fillId="17" borderId="83" xfId="0" applyFont="1" applyFill="1" applyBorder="1" applyAlignment="1" applyProtection="1">
      <alignment vertical="center" wrapText="1"/>
      <protection hidden="1"/>
    </xf>
    <xf numFmtId="0" fontId="3" fillId="0" borderId="91" xfId="0" applyFont="1" applyBorder="1" applyAlignment="1" applyProtection="1">
      <alignment horizontal="center" vertical="center" wrapText="1"/>
      <protection hidden="1"/>
    </xf>
    <xf numFmtId="0" fontId="18" fillId="4" borderId="81" xfId="0" applyFont="1" applyFill="1" applyBorder="1" applyAlignment="1" applyProtection="1">
      <alignment horizontal="center" vertical="center"/>
      <protection hidden="1"/>
    </xf>
    <xf numFmtId="0" fontId="18" fillId="4" borderId="84" xfId="0" applyFont="1" applyFill="1" applyBorder="1" applyAlignment="1" applyProtection="1">
      <alignment horizontal="center" vertical="center"/>
      <protection hidden="1"/>
    </xf>
    <xf numFmtId="2" fontId="20" fillId="18" borderId="109" xfId="0" applyNumberFormat="1" applyFont="1" applyFill="1" applyBorder="1" applyAlignment="1" applyProtection="1">
      <alignment horizontal="left"/>
      <protection hidden="1"/>
    </xf>
    <xf numFmtId="2" fontId="20" fillId="18" borderId="110" xfId="0" applyNumberFormat="1" applyFont="1" applyFill="1" applyBorder="1" applyAlignment="1" applyProtection="1">
      <alignment horizontal="left"/>
      <protection hidden="1"/>
    </xf>
    <xf numFmtId="2" fontId="20" fillId="18" borderId="111" xfId="0" applyNumberFormat="1" applyFont="1" applyFill="1" applyBorder="1" applyAlignment="1" applyProtection="1">
      <alignment horizontal="left"/>
      <protection hidden="1"/>
    </xf>
    <xf numFmtId="2" fontId="20" fillId="18" borderId="112" xfId="0" applyNumberFormat="1" applyFont="1" applyFill="1" applyBorder="1" applyAlignment="1" applyProtection="1">
      <alignment horizontal="left"/>
      <protection hidden="1"/>
    </xf>
    <xf numFmtId="0" fontId="29" fillId="7" borderId="0" xfId="5" applyFill="1" applyAlignment="1" applyProtection="1">
      <alignment horizontal="center" vertical="center"/>
      <protection locked="0"/>
    </xf>
    <xf numFmtId="0" fontId="0" fillId="7" borderId="0" xfId="0" applyFill="1" applyAlignment="1" applyProtection="1">
      <alignment horizontal="left"/>
      <protection locked="0"/>
    </xf>
    <xf numFmtId="176" fontId="29" fillId="7" borderId="114" xfId="5" applyNumberFormat="1" applyFill="1" applyBorder="1" applyAlignment="1" applyProtection="1">
      <alignment horizontal="left" vertical="center" indent="1"/>
      <protection locked="0"/>
    </xf>
    <xf numFmtId="177" fontId="29" fillId="7" borderId="120" xfId="5" applyNumberFormat="1" applyFill="1" applyBorder="1" applyAlignment="1" applyProtection="1">
      <alignment horizontal="center" vertical="center"/>
      <protection locked="0"/>
    </xf>
    <xf numFmtId="177" fontId="29" fillId="7" borderId="50" xfId="5" applyNumberFormat="1" applyFill="1" applyBorder="1" applyAlignment="1" applyProtection="1">
      <alignment horizontal="center" vertical="center"/>
      <protection locked="0"/>
    </xf>
    <xf numFmtId="177" fontId="29" fillId="7" borderId="62" xfId="5" applyNumberFormat="1" applyFill="1" applyBorder="1" applyAlignment="1" applyProtection="1">
      <alignment horizontal="center" vertical="center"/>
      <protection locked="0"/>
    </xf>
    <xf numFmtId="0" fontId="29" fillId="7" borderId="120" xfId="5" applyFill="1" applyBorder="1" applyAlignment="1" applyProtection="1">
      <alignment horizontal="center" vertical="center"/>
      <protection locked="0"/>
    </xf>
    <xf numFmtId="0" fontId="29" fillId="7" borderId="123" xfId="5" applyFill="1" applyBorder="1" applyAlignment="1" applyProtection="1">
      <alignment horizontal="center" vertical="center"/>
      <protection locked="0"/>
    </xf>
    <xf numFmtId="0" fontId="29" fillId="7" borderId="50" xfId="5" applyFill="1" applyBorder="1" applyAlignment="1" applyProtection="1">
      <alignment horizontal="center" vertical="center"/>
      <protection locked="0"/>
    </xf>
    <xf numFmtId="0" fontId="34" fillId="4" borderId="3" xfId="0" applyFont="1" applyFill="1" applyBorder="1" applyAlignment="1" applyProtection="1">
      <alignment horizontal="center" vertical="center"/>
      <protection hidden="1"/>
    </xf>
    <xf numFmtId="0" fontId="34" fillId="4" borderId="4" xfId="0" applyFont="1" applyFill="1" applyBorder="1" applyAlignment="1" applyProtection="1">
      <alignment horizontal="center" vertical="center"/>
      <protection hidden="1"/>
    </xf>
    <xf numFmtId="0" fontId="33" fillId="4" borderId="3" xfId="0" applyFont="1" applyFill="1" applyBorder="1" applyAlignment="1" applyProtection="1">
      <alignment horizontal="center" vertical="center"/>
      <protection hidden="1"/>
    </xf>
    <xf numFmtId="0" fontId="33" fillId="4" borderId="4" xfId="0" applyFont="1" applyFill="1" applyBorder="1" applyAlignment="1" applyProtection="1">
      <alignment horizontal="center" vertical="center"/>
      <protection hidden="1"/>
    </xf>
    <xf numFmtId="177" fontId="29" fillId="7" borderId="33" xfId="5" applyNumberFormat="1" applyFill="1" applyBorder="1" applyAlignment="1" applyProtection="1">
      <alignment horizontal="center" vertical="center"/>
      <protection locked="0"/>
    </xf>
    <xf numFmtId="177" fontId="29" fillId="7" borderId="34" xfId="5" applyNumberFormat="1" applyFill="1" applyBorder="1" applyAlignment="1" applyProtection="1">
      <alignment horizontal="center" vertical="center"/>
      <protection locked="0"/>
    </xf>
    <xf numFmtId="177" fontId="29" fillId="7" borderId="59" xfId="5" applyNumberFormat="1" applyFill="1" applyBorder="1" applyAlignment="1" applyProtection="1">
      <alignment horizontal="center" vertical="center"/>
      <protection locked="0"/>
    </xf>
    <xf numFmtId="0" fontId="29" fillId="7" borderId="33" xfId="5" applyFill="1" applyBorder="1" applyAlignment="1" applyProtection="1">
      <alignment horizontal="center" vertical="center"/>
      <protection locked="0"/>
    </xf>
    <xf numFmtId="0" fontId="29" fillId="7" borderId="60" xfId="5" applyFill="1" applyBorder="1" applyAlignment="1" applyProtection="1">
      <alignment horizontal="center" vertical="center"/>
      <protection locked="0"/>
    </xf>
    <xf numFmtId="0" fontId="29" fillId="7" borderId="34" xfId="5" applyFill="1" applyBorder="1" applyAlignment="1" applyProtection="1">
      <alignment horizontal="center" vertical="center"/>
      <protection locked="0"/>
    </xf>
    <xf numFmtId="177" fontId="31" fillId="6" borderId="133" xfId="5" applyNumberFormat="1" applyFont="1" applyFill="1" applyBorder="1" applyAlignment="1" applyProtection="1">
      <alignment horizontal="center" vertical="center"/>
      <protection hidden="1"/>
    </xf>
    <xf numFmtId="177" fontId="31" fillId="6" borderId="134" xfId="5" applyNumberFormat="1" applyFont="1" applyFill="1" applyBorder="1" applyAlignment="1" applyProtection="1">
      <alignment horizontal="center" vertical="center"/>
      <protection hidden="1"/>
    </xf>
    <xf numFmtId="177" fontId="29" fillId="7" borderId="37" xfId="5" applyNumberFormat="1" applyFill="1" applyBorder="1" applyAlignment="1" applyProtection="1">
      <alignment horizontal="center" vertical="center"/>
      <protection locked="0"/>
    </xf>
    <xf numFmtId="177" fontId="29" fillId="7" borderId="29" xfId="5" applyNumberFormat="1" applyFill="1" applyBorder="1" applyAlignment="1" applyProtection="1">
      <alignment horizontal="center" vertical="center"/>
      <protection locked="0"/>
    </xf>
    <xf numFmtId="177" fontId="31" fillId="6" borderId="128" xfId="5" applyNumberFormat="1" applyFont="1" applyFill="1" applyBorder="1" applyAlignment="1" applyProtection="1">
      <alignment horizontal="center" vertical="center"/>
      <protection hidden="1"/>
    </xf>
    <xf numFmtId="177" fontId="31" fillId="6" borderId="41" xfId="5" applyNumberFormat="1" applyFont="1" applyFill="1" applyBorder="1" applyAlignment="1" applyProtection="1">
      <alignment horizontal="center" vertical="center"/>
      <protection hidden="1"/>
    </xf>
    <xf numFmtId="177" fontId="29" fillId="7" borderId="129" xfId="5" applyNumberFormat="1" applyFill="1" applyBorder="1" applyAlignment="1" applyProtection="1">
      <alignment horizontal="center" vertical="center"/>
      <protection locked="0"/>
    </xf>
    <xf numFmtId="177" fontId="29" fillId="7" borderId="124" xfId="5" applyNumberFormat="1" applyFill="1" applyBorder="1" applyAlignment="1" applyProtection="1">
      <alignment horizontal="center" vertical="center"/>
      <protection locked="0"/>
    </xf>
    <xf numFmtId="0" fontId="29" fillId="7" borderId="37" xfId="5" applyFill="1" applyBorder="1" applyAlignment="1" applyProtection="1">
      <alignment horizontal="center" vertical="center"/>
      <protection locked="0"/>
    </xf>
    <xf numFmtId="0" fontId="29" fillId="7" borderId="130" xfId="5" applyFill="1" applyBorder="1" applyAlignment="1" applyProtection="1">
      <alignment horizontal="center" vertical="center"/>
      <protection locked="0"/>
    </xf>
    <xf numFmtId="0" fontId="29" fillId="7" borderId="29" xfId="5" applyFill="1" applyBorder="1" applyAlignment="1" applyProtection="1">
      <alignment horizontal="center" vertical="center"/>
      <protection locked="0"/>
    </xf>
    <xf numFmtId="10" fontId="29" fillId="7" borderId="129" xfId="3" applyNumberFormat="1" applyFont="1" applyFill="1" applyBorder="1" applyAlignment="1" applyProtection="1">
      <alignment horizontal="center" vertical="center"/>
      <protection locked="0"/>
    </xf>
    <xf numFmtId="10" fontId="29" fillId="7" borderId="136" xfId="3" applyNumberFormat="1" applyFont="1" applyFill="1" applyBorder="1" applyAlignment="1" applyProtection="1">
      <alignment horizontal="center" vertical="center"/>
      <protection locked="0"/>
    </xf>
    <xf numFmtId="177" fontId="29" fillId="7" borderId="138" xfId="5" applyNumberFormat="1" applyFill="1" applyBorder="1" applyAlignment="1" applyProtection="1">
      <alignment horizontal="center" vertical="center"/>
      <protection locked="0"/>
    </xf>
    <xf numFmtId="177" fontId="29" fillId="7" borderId="26" xfId="5" applyNumberFormat="1" applyFill="1" applyBorder="1" applyAlignment="1" applyProtection="1">
      <alignment horizontal="center" vertical="center"/>
      <protection locked="0"/>
    </xf>
    <xf numFmtId="0" fontId="7" fillId="4" borderId="0" xfId="0" applyFont="1" applyFill="1" applyProtection="1">
      <protection locked="0" hidden="1"/>
    </xf>
    <xf numFmtId="0" fontId="3" fillId="0" borderId="0" xfId="0" applyFont="1" applyProtection="1">
      <protection locked="0" hidden="1"/>
    </xf>
  </cellXfs>
  <cellStyles count="9">
    <cellStyle name="Comma" xfId="1" builtinId="3"/>
    <cellStyle name="Currency" xfId="2" builtinId="4"/>
    <cellStyle name="Currency 2" xfId="6" xr:uid="{F65E9FF2-D8B2-48D9-82F5-FBA6B4EA53DB}"/>
    <cellStyle name="Hyperlink" xfId="7" builtinId="8"/>
    <cellStyle name="Normal" xfId="0" builtinId="0"/>
    <cellStyle name="Normal 2" xfId="8" xr:uid="{C075AB73-7A56-4E55-BDA0-917EB983E1A0}"/>
    <cellStyle name="Normal 3" xfId="5" xr:uid="{1C1D0511-A79C-4F08-A61B-FFD363372752}"/>
    <cellStyle name="Output" xfId="4" builtinId="21"/>
    <cellStyle name="Percent" xfId="3" builtinId="5"/>
  </cellStyles>
  <dxfs count="309">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44B"/>
      </font>
      <fill>
        <patternFill>
          <bgColor rgb="FFC6EFCE"/>
        </patternFill>
      </fill>
    </dxf>
    <dxf>
      <font>
        <color rgb="FFE32E6E"/>
      </font>
      <fill>
        <patternFill>
          <bgColor rgb="FFFFC7CE"/>
        </patternFill>
      </fill>
    </dxf>
    <dxf>
      <font>
        <color rgb="FF00644B"/>
      </font>
      <fill>
        <patternFill>
          <bgColor rgb="FFC6EFCE"/>
        </patternFill>
      </fill>
    </dxf>
    <dxf>
      <font>
        <color rgb="FFE32E6E"/>
      </font>
      <fill>
        <patternFill>
          <bgColor rgb="FFFFC7CE"/>
        </patternFill>
      </fill>
    </dxf>
    <dxf>
      <fill>
        <patternFill>
          <bgColor rgb="FFFF0000"/>
        </patternFill>
      </fill>
    </dxf>
    <dxf>
      <fill>
        <patternFill>
          <bgColor rgb="FFFF00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ont>
        <color auto="1"/>
      </font>
      <fill>
        <patternFill>
          <bgColor rgb="FFFF0000"/>
        </patternFill>
      </fill>
    </dxf>
    <dxf>
      <fill>
        <patternFill>
          <bgColor rgb="FFFF0000"/>
        </patternFill>
      </fill>
    </dxf>
    <dxf>
      <fill>
        <patternFill>
          <bgColor rgb="FFFF00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ill>
        <patternFill>
          <bgColor rgb="FF0090D6"/>
        </patternFill>
      </fill>
    </dxf>
    <dxf>
      <font>
        <color theme="1"/>
      </font>
      <fill>
        <patternFill>
          <bgColor rgb="FFFFCB00"/>
        </patternFill>
      </fill>
    </dxf>
    <dxf>
      <font>
        <color auto="1"/>
      </font>
      <fill>
        <patternFill>
          <bgColor rgb="FFF79550"/>
        </patternFill>
      </fill>
    </dxf>
    <dxf>
      <fill>
        <patternFill>
          <bgColor rgb="FF003399"/>
        </patternFill>
      </fill>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ill>
        <patternFill>
          <bgColor rgb="FF003399"/>
        </patternFill>
      </fill>
    </dxf>
    <dxf>
      <fill>
        <patternFill>
          <bgColor rgb="FF003399"/>
        </patternFill>
      </fill>
    </dxf>
    <dxf>
      <fill>
        <patternFill>
          <bgColor rgb="FF00644B"/>
        </patternFill>
      </fill>
    </dxf>
    <dxf>
      <fill>
        <patternFill>
          <bgColor rgb="FFE32E6E"/>
        </patternFill>
      </fill>
    </dxf>
    <dxf>
      <fill>
        <patternFill>
          <bgColor rgb="FF0DD1BF"/>
        </patternFill>
      </fill>
    </dxf>
    <dxf>
      <font>
        <color auto="1"/>
      </font>
      <fill>
        <patternFill>
          <bgColor rgb="FFD3FF03"/>
        </patternFill>
      </fill>
    </dxf>
    <dxf>
      <font>
        <color auto="1"/>
      </font>
      <fill>
        <patternFill>
          <bgColor rgb="FFF79550"/>
        </patternFill>
      </fill>
    </dxf>
    <dxf>
      <fill>
        <patternFill>
          <bgColor rgb="FF0090D6"/>
        </patternFill>
      </fill>
    </dxf>
    <dxf>
      <font>
        <color theme="1"/>
      </font>
      <fill>
        <patternFill>
          <bgColor rgb="FFFFCB0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rgb="FFFF000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theme="0"/>
        </patternFill>
      </fill>
    </dxf>
    <dxf>
      <border>
        <bottom style="thin">
          <color auto="1"/>
        </bottom>
        <vertical/>
        <horizontal/>
      </border>
    </dxf>
    <dxf>
      <fill>
        <patternFill>
          <bgColor rgb="FFEFEFFF"/>
        </patternFill>
      </fill>
      <border>
        <left style="thin">
          <color auto="1"/>
        </left>
        <right style="thin">
          <color auto="1"/>
        </right>
        <bottom/>
      </border>
    </dxf>
    <dxf>
      <font>
        <color theme="0"/>
      </font>
      <fill>
        <patternFill>
          <bgColor theme="0"/>
        </patternFill>
      </fill>
    </dxf>
    <dxf>
      <font>
        <color theme="0"/>
      </font>
      <fill>
        <patternFill>
          <bgColor theme="0"/>
        </patternFill>
      </fill>
    </dxf>
    <dxf>
      <fill>
        <patternFill>
          <bgColor theme="0"/>
        </patternFill>
      </fill>
    </dxf>
    <dxf>
      <font>
        <color theme="0"/>
      </font>
      <fill>
        <patternFill>
          <bgColor theme="0"/>
        </patternFill>
      </fill>
    </dxf>
    <dxf>
      <fill>
        <patternFill>
          <bgColor rgb="FFFF0000"/>
        </patternFill>
      </fill>
    </dxf>
    <dxf>
      <fill>
        <patternFill>
          <bgColor rgb="FFFFC000"/>
        </patternFill>
      </fill>
    </dxf>
    <dxf>
      <fill>
        <patternFill>
          <bgColor rgb="FF00B050"/>
        </patternFill>
      </fill>
    </dxf>
    <dxf>
      <font>
        <color theme="0"/>
      </font>
      <fill>
        <patternFill>
          <bgColor theme="0"/>
        </patternFill>
      </fill>
    </dxf>
    <dxf>
      <font>
        <color auto="1"/>
      </font>
      <fill>
        <patternFill>
          <bgColor rgb="FFFF0000"/>
        </patternFill>
      </fill>
    </dxf>
    <dxf>
      <font>
        <color theme="0"/>
      </font>
      <fill>
        <patternFill>
          <bgColor theme="0"/>
        </patternFill>
      </fill>
    </dxf>
    <dxf>
      <fill>
        <patternFill>
          <bgColor theme="0"/>
        </patternFill>
      </fill>
    </dxf>
    <dxf>
      <font>
        <color theme="0"/>
      </font>
      <fill>
        <patternFill>
          <bgColor theme="0"/>
        </patternFill>
      </fill>
      <border>
        <left/>
        <right/>
        <top/>
        <bottom/>
        <vertical/>
        <horizontal/>
      </border>
    </dxf>
    <dxf>
      <fill>
        <patternFill>
          <bgColor rgb="FF003399"/>
        </patternFill>
      </fill>
    </dxf>
    <dxf>
      <fill>
        <patternFill>
          <bgColor rgb="FF00644B"/>
        </patternFill>
      </fill>
    </dxf>
    <dxf>
      <fill>
        <patternFill>
          <bgColor rgb="FF0DD1BF"/>
        </patternFill>
      </fill>
    </dxf>
    <dxf>
      <fill>
        <patternFill>
          <bgColor rgb="FFE32E6E"/>
        </patternFill>
      </fill>
    </dxf>
    <dxf>
      <font>
        <color auto="1"/>
      </font>
      <fill>
        <patternFill>
          <bgColor rgb="FFD3FF03"/>
        </patternFill>
      </fill>
    </dxf>
    <dxf>
      <fill>
        <patternFill>
          <bgColor rgb="FF003399"/>
        </patternFill>
      </fill>
    </dxf>
    <dxf>
      <fill>
        <patternFill>
          <bgColor rgb="FF0090D6"/>
        </patternFill>
      </fill>
    </dxf>
    <dxf>
      <font>
        <color theme="1"/>
      </font>
      <fill>
        <patternFill>
          <bgColor rgb="FFFFCB00"/>
        </patternFill>
      </fill>
    </dxf>
    <dxf>
      <font>
        <color auto="1"/>
      </font>
      <fill>
        <patternFill>
          <bgColor rgb="FFF7955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ont>
        <color theme="0"/>
      </font>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theme="0"/>
        </patternFill>
      </fill>
    </dxf>
    <dxf>
      <fill>
        <patternFill>
          <bgColor theme="0"/>
        </patternFill>
      </fill>
    </dxf>
    <dxf>
      <font>
        <color theme="0"/>
      </font>
      <fill>
        <patternFill>
          <bgColor theme="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ont>
        <color theme="0"/>
      </font>
      <fill>
        <patternFill>
          <bgColor theme="0"/>
        </patternFill>
      </fill>
    </dxf>
    <dxf>
      <fill>
        <patternFill>
          <bgColor rgb="FF00B050"/>
        </patternFill>
      </fill>
    </dxf>
    <dxf>
      <fill>
        <patternFill>
          <bgColor rgb="FFFFC000"/>
        </patternFill>
      </fill>
    </dxf>
    <dxf>
      <fill>
        <patternFill>
          <bgColor rgb="FFFF0000"/>
        </patternFill>
      </fill>
    </dxf>
    <dxf>
      <font>
        <color theme="0"/>
      </font>
      <fill>
        <patternFill>
          <bgColor theme="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theme="0"/>
        </patternFill>
      </fill>
    </dxf>
    <dxf>
      <font>
        <color theme="0"/>
      </font>
      <fill>
        <patternFill>
          <bgColor rgb="FF003399"/>
        </patternFill>
      </fill>
    </dxf>
    <dxf>
      <font>
        <color theme="0"/>
      </font>
      <fill>
        <patternFill>
          <bgColor rgb="FFE32E6E"/>
        </patternFill>
      </fill>
    </dxf>
    <dxf>
      <font>
        <color auto="1"/>
      </font>
      <fill>
        <patternFill>
          <bgColor rgb="FFF79550"/>
        </patternFill>
      </fill>
    </dxf>
    <dxf>
      <font>
        <color theme="0"/>
      </font>
      <fill>
        <patternFill>
          <bgColor rgb="FF0090D6"/>
        </patternFill>
      </fill>
    </dxf>
    <dxf>
      <font>
        <color auto="1"/>
      </font>
      <fill>
        <patternFill>
          <bgColor rgb="FFFFC000"/>
        </patternFill>
      </fill>
    </dxf>
    <dxf>
      <font>
        <color theme="0"/>
      </font>
      <fill>
        <patternFill>
          <bgColor rgb="FF00644B"/>
        </patternFill>
      </fill>
    </dxf>
    <dxf>
      <font>
        <color theme="0"/>
      </font>
      <fill>
        <patternFill>
          <bgColor theme="0"/>
        </patternFill>
      </fill>
      <border>
        <left/>
        <right/>
        <top/>
        <bottom/>
      </border>
    </dxf>
    <dxf>
      <fill>
        <patternFill>
          <bgColor rgb="FFFFFFCC"/>
        </patternFill>
      </fill>
    </dxf>
    <dxf>
      <font>
        <color auto="1"/>
      </font>
      <fill>
        <patternFill>
          <bgColor rgb="FFF79550"/>
        </patternFill>
      </fill>
    </dxf>
    <dxf>
      <font>
        <color theme="0"/>
      </font>
      <fill>
        <patternFill>
          <bgColor rgb="FF0090D6"/>
        </patternFill>
      </fill>
    </dxf>
    <dxf>
      <font>
        <color auto="1"/>
      </font>
      <fill>
        <patternFill>
          <bgColor rgb="FFFFC000"/>
        </patternFill>
      </fill>
    </dxf>
    <dxf>
      <font>
        <color theme="0"/>
      </font>
      <fill>
        <patternFill>
          <bgColor rgb="FF00644B"/>
        </patternFill>
      </fill>
    </dxf>
    <dxf>
      <font>
        <color theme="0"/>
      </font>
      <fill>
        <patternFill>
          <bgColor rgb="FF003399"/>
        </patternFill>
      </fill>
    </dxf>
    <dxf>
      <font>
        <color theme="0"/>
      </font>
      <fill>
        <patternFill>
          <bgColor rgb="FFE32E6E"/>
        </patternFill>
      </fill>
    </dxf>
    <dxf>
      <font>
        <color theme="0"/>
      </font>
      <fill>
        <patternFill>
          <bgColor rgb="FF00644B"/>
        </patternFill>
      </fill>
    </dxf>
    <dxf>
      <font>
        <color theme="0"/>
      </font>
      <fill>
        <patternFill>
          <bgColor rgb="FF003399"/>
        </patternFill>
      </fill>
    </dxf>
    <dxf>
      <font>
        <color theme="0"/>
      </font>
      <fill>
        <patternFill>
          <bgColor rgb="FFE32E6E"/>
        </patternFill>
      </fill>
    </dxf>
    <dxf>
      <font>
        <color auto="1"/>
      </font>
      <fill>
        <patternFill>
          <bgColor rgb="FFF79550"/>
        </patternFill>
      </fill>
    </dxf>
    <dxf>
      <font>
        <color auto="1"/>
      </font>
      <fill>
        <patternFill>
          <bgColor rgb="FFFFC000"/>
        </patternFill>
      </fill>
    </dxf>
    <dxf>
      <font>
        <color theme="0"/>
      </font>
      <fill>
        <patternFill>
          <bgColor rgb="FF0090D6"/>
        </patternFill>
      </fill>
    </dxf>
    <dxf>
      <fill>
        <patternFill>
          <bgColor theme="0"/>
        </patternFill>
      </fill>
    </dxf>
    <dxf>
      <fill>
        <patternFill>
          <bgColor rgb="FFFF0000"/>
        </patternFill>
      </fill>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FF0000"/>
        </patternFill>
      </fill>
    </dxf>
    <dxf>
      <fill>
        <patternFill>
          <bgColor theme="0"/>
        </patternFill>
      </fill>
    </dxf>
    <dxf>
      <font>
        <color theme="0"/>
      </font>
      <fill>
        <patternFill>
          <bgColor theme="0"/>
        </patternFill>
      </fill>
      <border>
        <left/>
        <right/>
        <top/>
        <bottom/>
        <vertical/>
        <horizontal/>
      </border>
    </dxf>
    <dxf>
      <font>
        <color theme="0"/>
      </font>
      <fill>
        <patternFill>
          <bgColor theme="0"/>
        </patternFill>
      </fill>
    </dxf>
    <dxf>
      <fill>
        <patternFill>
          <bgColor rgb="FFFF0000"/>
        </patternFill>
      </fill>
    </dxf>
    <dxf>
      <fill>
        <patternFill>
          <bgColor rgb="FFFF0000"/>
        </patternFill>
      </fill>
    </dxf>
    <dxf>
      <font>
        <color theme="0"/>
      </font>
      <fill>
        <patternFill>
          <bgColor theme="0"/>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theme="0"/>
        </patternFill>
      </fill>
    </dxf>
    <dxf>
      <font>
        <color theme="0"/>
      </font>
      <fill>
        <patternFill>
          <bgColor theme="0"/>
        </patternFill>
      </fill>
      <border>
        <left/>
        <right/>
        <top/>
        <bottom/>
        <vertical/>
        <horizontal/>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rgb="FF0DD1BF"/>
        </patternFill>
      </fill>
    </dxf>
    <dxf>
      <fill>
        <patternFill>
          <bgColor rgb="FFE32E6E"/>
        </patternFill>
      </fill>
    </dxf>
    <dxf>
      <fill>
        <patternFill>
          <bgColor rgb="FF00644B"/>
        </patternFill>
      </fill>
    </dxf>
    <dxf>
      <fill>
        <patternFill>
          <bgColor rgb="FF003399"/>
        </patternFill>
      </fill>
    </dxf>
    <dxf>
      <fill>
        <patternFill>
          <bgColor rgb="FF003399"/>
        </patternFill>
      </fill>
    </dxf>
    <dxf>
      <font>
        <color auto="1"/>
      </font>
      <fill>
        <patternFill>
          <bgColor rgb="FFF79550"/>
        </patternFill>
      </fill>
    </dxf>
    <dxf>
      <fill>
        <patternFill>
          <bgColor rgb="FF0090D6"/>
        </patternFill>
      </fill>
    </dxf>
    <dxf>
      <font>
        <color theme="1"/>
      </font>
      <fill>
        <patternFill>
          <bgColor rgb="FFFFCB00"/>
        </patternFill>
      </fill>
    </dxf>
    <dxf>
      <font>
        <color auto="1"/>
      </font>
      <fill>
        <patternFill>
          <bgColor rgb="FFD3FF03"/>
        </patternFill>
      </fill>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ont>
        <color theme="0"/>
      </font>
      <fill>
        <patternFill>
          <bgColor theme="0"/>
        </patternFill>
      </fill>
      <border>
        <left/>
        <right/>
        <top/>
        <bottom/>
      </border>
    </dxf>
    <dxf>
      <fill>
        <patternFill>
          <bgColor theme="0"/>
        </patternFill>
      </fill>
      <border>
        <left style="thin">
          <color auto="1"/>
        </left>
      </border>
    </dxf>
    <dxf>
      <fill>
        <patternFill>
          <bgColor theme="0"/>
        </patternFill>
      </fill>
      <border>
        <left/>
        <right/>
        <top/>
        <bottom/>
        <vertical/>
        <horizontal/>
      </border>
    </dxf>
    <dxf>
      <font>
        <color theme="1"/>
      </font>
      <fill>
        <patternFill>
          <bgColor rgb="FFF79550"/>
        </patternFill>
      </fill>
    </dxf>
    <dxf>
      <font>
        <color theme="0"/>
      </font>
      <fill>
        <patternFill>
          <bgColor theme="0"/>
        </patternFill>
      </fill>
      <border>
        <left/>
        <right/>
        <top/>
        <bottom/>
      </border>
    </dxf>
    <dxf>
      <font>
        <color auto="1"/>
      </font>
      <fill>
        <patternFill>
          <bgColor rgb="FFFFCB00"/>
        </patternFill>
      </fill>
    </dxf>
    <dxf>
      <font>
        <color theme="0"/>
      </font>
      <fill>
        <patternFill>
          <bgColor theme="0"/>
        </patternFill>
      </fill>
      <border>
        <left/>
        <right/>
        <top/>
        <bottom/>
      </border>
    </dxf>
    <dxf>
      <font>
        <color theme="0"/>
      </font>
      <fill>
        <patternFill>
          <bgColor theme="0"/>
        </patternFill>
      </fill>
      <border>
        <left style="thin">
          <color auto="1"/>
        </left>
        <right/>
        <top/>
        <bottom/>
        <vertical/>
        <horizontal/>
      </border>
    </dxf>
    <dxf>
      <fill>
        <patternFill>
          <bgColor rgb="FFFF0000"/>
        </patternFill>
      </fill>
    </dxf>
    <dxf>
      <font>
        <color theme="1"/>
      </font>
      <fill>
        <patternFill>
          <bgColor rgb="FFFFCB00"/>
        </patternFill>
      </fill>
    </dxf>
    <dxf>
      <font>
        <color theme="0" tint="-0.499984740745262"/>
      </font>
      <fill>
        <patternFill>
          <bgColor theme="0" tint="-0.499984740745262"/>
        </patternFill>
      </fill>
    </dxf>
    <dxf>
      <font>
        <color theme="0"/>
      </font>
      <fill>
        <patternFill>
          <bgColor theme="0"/>
        </patternFill>
      </fill>
    </dxf>
    <dxf>
      <fill>
        <patternFill>
          <bgColor rgb="FFFF0000"/>
        </patternFill>
      </fill>
    </dxf>
    <dxf>
      <font>
        <color theme="0"/>
      </font>
      <fill>
        <patternFill>
          <bgColor theme="0"/>
        </patternFill>
      </fill>
    </dxf>
    <dxf>
      <fill>
        <patternFill>
          <bgColor rgb="FFFF0000"/>
        </patternFill>
      </fill>
    </dxf>
    <dxf>
      <font>
        <color theme="0"/>
      </font>
      <fill>
        <patternFill>
          <bgColor theme="0"/>
        </patternFill>
      </fill>
    </dxf>
    <dxf>
      <font>
        <color theme="0"/>
      </font>
      <fill>
        <patternFill>
          <bgColor theme="0"/>
        </patternFill>
      </fill>
    </dxf>
    <dxf>
      <fill>
        <patternFill>
          <bgColor rgb="FFFFC000"/>
        </patternFill>
      </fill>
    </dxf>
    <dxf>
      <fill>
        <patternFill>
          <bgColor rgb="FFFF0000"/>
        </patternFill>
      </fill>
    </dxf>
    <dxf>
      <font>
        <color theme="0"/>
      </font>
      <fill>
        <patternFill>
          <bgColor theme="0"/>
        </patternFill>
      </fill>
    </dxf>
    <dxf>
      <fill>
        <patternFill>
          <bgColor rgb="FFFFC000"/>
        </patternFill>
      </fill>
    </dxf>
    <dxf>
      <font>
        <color theme="0" tint="-0.499984740745262"/>
      </font>
      <fill>
        <patternFill>
          <bgColor theme="0" tint="-0.499984740745262"/>
        </patternFill>
      </fill>
    </dxf>
    <dxf>
      <font>
        <color theme="0"/>
      </font>
      <fill>
        <patternFill>
          <bgColor theme="0"/>
        </patternFill>
      </fill>
    </dxf>
    <dxf>
      <font>
        <color theme="0" tint="-0.499984740745262"/>
      </font>
      <fill>
        <patternFill>
          <bgColor theme="0" tint="-0.499984740745262"/>
        </patternFill>
      </fill>
    </dxf>
    <dxf>
      <font>
        <color theme="0"/>
      </font>
      <fill>
        <patternFill>
          <bgColor theme="0"/>
        </patternFill>
      </fill>
    </dxf>
    <dxf>
      <fill>
        <patternFill>
          <bgColor rgb="FFFF0000"/>
        </patternFill>
      </fill>
    </dxf>
    <dxf>
      <font>
        <color theme="0"/>
      </font>
      <fill>
        <patternFill>
          <bgColor theme="0"/>
        </patternFill>
      </fill>
    </dxf>
    <dxf>
      <fill>
        <patternFill>
          <bgColor rgb="FF0090D6"/>
        </patternFill>
      </fill>
    </dxf>
    <dxf>
      <fill>
        <patternFill>
          <bgColor rgb="FF0DD1BF"/>
        </patternFill>
      </fill>
    </dxf>
    <dxf>
      <fill>
        <patternFill>
          <bgColor rgb="FFE32E6E"/>
        </patternFill>
      </fill>
    </dxf>
    <dxf>
      <fill>
        <patternFill>
          <bgColor rgb="FF003399"/>
        </patternFill>
      </fill>
    </dxf>
    <dxf>
      <fill>
        <patternFill>
          <bgColor rgb="FF00644B"/>
        </patternFill>
      </fill>
    </dxf>
    <dxf>
      <fill>
        <patternFill>
          <bgColor rgb="FF003399"/>
        </patternFill>
      </fill>
    </dxf>
    <dxf>
      <font>
        <color theme="1"/>
      </font>
      <fill>
        <patternFill>
          <bgColor rgb="FFD3FF03"/>
        </patternFill>
      </fill>
    </dxf>
    <dxf>
      <font>
        <color theme="1"/>
      </font>
      <fill>
        <patternFill>
          <bgColor rgb="FFF79550"/>
        </patternFill>
      </fill>
    </dxf>
    <dxf>
      <font>
        <color theme="0"/>
      </font>
      <fill>
        <patternFill>
          <bgColor theme="0"/>
        </patternFill>
      </fill>
    </dxf>
    <dxf>
      <font>
        <color theme="0"/>
      </font>
      <fill>
        <patternFill>
          <bgColor theme="0"/>
        </patternFill>
      </fill>
      <border>
        <left/>
        <right/>
        <top/>
        <bottom/>
      </border>
    </dxf>
    <dxf>
      <font>
        <color theme="1"/>
      </font>
      <fill>
        <patternFill>
          <bgColor rgb="FFD3FF03"/>
        </patternFill>
      </fill>
    </dxf>
    <dxf>
      <fill>
        <patternFill>
          <bgColor rgb="FF003399"/>
        </patternFill>
      </fill>
    </dxf>
    <dxf>
      <fill>
        <patternFill>
          <bgColor rgb="FF00644B"/>
        </patternFill>
      </fill>
    </dxf>
    <dxf>
      <fill>
        <patternFill>
          <bgColor rgb="FF003399"/>
        </patternFill>
      </fill>
    </dxf>
    <dxf>
      <fill>
        <patternFill>
          <bgColor rgb="FFE32E6E"/>
        </patternFill>
      </fill>
    </dxf>
    <dxf>
      <fill>
        <patternFill>
          <bgColor rgb="FF0DD1BF"/>
        </patternFill>
      </fill>
    </dxf>
    <dxf>
      <font>
        <color auto="1"/>
      </font>
      <fill>
        <patternFill>
          <bgColor rgb="FFFFCB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5.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4.png"/><Relationship Id="rId1" Type="http://schemas.openxmlformats.org/officeDocument/2006/relationships/image" Target="../media/image3.png"/><Relationship Id="rId6" Type="http://schemas.microsoft.com/office/2007/relationships/hdphoto" Target="../media/hdphoto1.wdp"/><Relationship Id="rId11" Type="http://schemas.openxmlformats.org/officeDocument/2006/relationships/image" Target="../media/image12.png"/><Relationship Id="rId5" Type="http://schemas.openxmlformats.org/officeDocument/2006/relationships/image" Target="../media/image7.png"/><Relationship Id="rId10" Type="http://schemas.openxmlformats.org/officeDocument/2006/relationships/image" Target="../media/image11.png"/><Relationship Id="rId4" Type="http://schemas.openxmlformats.org/officeDocument/2006/relationships/image" Target="../media/image6.png"/><Relationship Id="rId9"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47625</xdr:colOff>
          <xdr:row>0</xdr:row>
          <xdr:rowOff>95249</xdr:rowOff>
        </xdr:from>
        <xdr:to>
          <xdr:col>19</xdr:col>
          <xdr:colOff>533400</xdr:colOff>
          <xdr:row>5</xdr:row>
          <xdr:rowOff>114299</xdr:rowOff>
        </xdr:to>
        <xdr:pic>
          <xdr:nvPicPr>
            <xdr:cNvPr id="2" name="Picture 1">
              <a:extLst>
                <a:ext uri="{FF2B5EF4-FFF2-40B4-BE49-F238E27FC236}">
                  <a16:creationId xmlns:a16="http://schemas.microsoft.com/office/drawing/2014/main" id="{7964EFFD-A85D-4118-826A-6067150A4D46}"/>
                </a:ext>
              </a:extLst>
            </xdr:cNvPr>
            <xdr:cNvPicPr>
              <a:picLocks noChangeAspect="1" noChangeArrowheads="1"/>
              <a:extLst>
                <a:ext uri="{84589F7E-364E-4C9E-8A38-B11213B215E9}">
                  <a14:cameraTool cellRange="Pictures" spid="_x0000_s1029"/>
                </a:ext>
              </a:extLst>
            </xdr:cNvPicPr>
          </xdr:nvPicPr>
          <xdr:blipFill>
            <a:blip xmlns:r="http://schemas.openxmlformats.org/officeDocument/2006/relationships" r:embed="rId1"/>
            <a:srcRect/>
            <a:stretch>
              <a:fillRect/>
            </a:stretch>
          </xdr:blipFill>
          <xdr:spPr bwMode="auto">
            <a:xfrm>
              <a:off x="18068925" y="95249"/>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219075</xdr:colOff>
          <xdr:row>0</xdr:row>
          <xdr:rowOff>133350</xdr:rowOff>
        </xdr:from>
        <xdr:to>
          <xdr:col>11</xdr:col>
          <xdr:colOff>742950</xdr:colOff>
          <xdr:row>6</xdr:row>
          <xdr:rowOff>38100</xdr:rowOff>
        </xdr:to>
        <xdr:pic>
          <xdr:nvPicPr>
            <xdr:cNvPr id="2" name="Picture 1">
              <a:extLst>
                <a:ext uri="{FF2B5EF4-FFF2-40B4-BE49-F238E27FC236}">
                  <a16:creationId xmlns:a16="http://schemas.microsoft.com/office/drawing/2014/main" id="{DFA1F783-3E40-453C-8E80-02202B9C7851}"/>
                </a:ext>
              </a:extLst>
            </xdr:cNvPr>
            <xdr:cNvPicPr>
              <a:picLocks noChangeAspect="1" noChangeArrowheads="1"/>
              <a:extLst>
                <a:ext uri="{84589F7E-364E-4C9E-8A38-B11213B215E9}">
                  <a14:cameraTool cellRange="Pictures" spid="_x0000_s2053"/>
                </a:ext>
              </a:extLst>
            </xdr:cNvPicPr>
          </xdr:nvPicPr>
          <xdr:blipFill>
            <a:blip xmlns:r="http://schemas.openxmlformats.org/officeDocument/2006/relationships" r:embed="rId1"/>
            <a:srcRect/>
            <a:stretch>
              <a:fillRect/>
            </a:stretch>
          </xdr:blipFill>
          <xdr:spPr bwMode="auto">
            <a:xfrm>
              <a:off x="12753975" y="133350"/>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150132</xdr:colOff>
          <xdr:row>0</xdr:row>
          <xdr:rowOff>0</xdr:rowOff>
        </xdr:from>
        <xdr:to>
          <xdr:col>10</xdr:col>
          <xdr:colOff>1007382</xdr:colOff>
          <xdr:row>3</xdr:row>
          <xdr:rowOff>47625</xdr:rowOff>
        </xdr:to>
        <xdr:pic>
          <xdr:nvPicPr>
            <xdr:cNvPr id="2" name="Picture 1">
              <a:extLst>
                <a:ext uri="{FF2B5EF4-FFF2-40B4-BE49-F238E27FC236}">
                  <a16:creationId xmlns:a16="http://schemas.microsoft.com/office/drawing/2014/main" id="{457A7E0D-D40D-4F10-B961-DB379E7429F6}"/>
                </a:ext>
              </a:extLst>
            </xdr:cNvPr>
            <xdr:cNvPicPr>
              <a:picLocks noChangeAspect="1" noChangeArrowheads="1"/>
              <a:extLst>
                <a:ext uri="{84589F7E-364E-4C9E-8A38-B11213B215E9}">
                  <a14:cameraTool cellRange="Pictures" spid="_x0000_s4101"/>
                </a:ext>
              </a:extLst>
            </xdr:cNvPicPr>
          </xdr:nvPicPr>
          <xdr:blipFill>
            <a:blip xmlns:r="http://schemas.openxmlformats.org/officeDocument/2006/relationships" r:embed="rId1"/>
            <a:srcRect/>
            <a:stretch>
              <a:fillRect/>
            </a:stretch>
          </xdr:blipFill>
          <xdr:spPr bwMode="auto">
            <a:xfrm>
              <a:off x="6760482" y="0"/>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312564</xdr:colOff>
          <xdr:row>0</xdr:row>
          <xdr:rowOff>63500</xdr:rowOff>
        </xdr:from>
        <xdr:to>
          <xdr:col>10</xdr:col>
          <xdr:colOff>1169814</xdr:colOff>
          <xdr:row>3</xdr:row>
          <xdr:rowOff>111125</xdr:rowOff>
        </xdr:to>
        <xdr:pic>
          <xdr:nvPicPr>
            <xdr:cNvPr id="2" name="Picture 1">
              <a:extLst>
                <a:ext uri="{FF2B5EF4-FFF2-40B4-BE49-F238E27FC236}">
                  <a16:creationId xmlns:a16="http://schemas.microsoft.com/office/drawing/2014/main" id="{F75FAEC8-AE77-407A-9927-E281892E0061}"/>
                </a:ext>
              </a:extLst>
            </xdr:cNvPr>
            <xdr:cNvPicPr>
              <a:picLocks noChangeAspect="1" noChangeArrowheads="1"/>
              <a:extLst>
                <a:ext uri="{84589F7E-364E-4C9E-8A38-B11213B215E9}">
                  <a14:cameraTool cellRange="Pictures" spid="_x0000_s5125"/>
                </a:ext>
              </a:extLst>
            </xdr:cNvPicPr>
          </xdr:nvPicPr>
          <xdr:blipFill>
            <a:blip xmlns:r="http://schemas.openxmlformats.org/officeDocument/2006/relationships" r:embed="rId1"/>
            <a:srcRect/>
            <a:stretch>
              <a:fillRect/>
            </a:stretch>
          </xdr:blipFill>
          <xdr:spPr bwMode="auto">
            <a:xfrm>
              <a:off x="7037214" y="63500"/>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133350</xdr:colOff>
          <xdr:row>0</xdr:row>
          <xdr:rowOff>69001</xdr:rowOff>
        </xdr:from>
        <xdr:to>
          <xdr:col>11</xdr:col>
          <xdr:colOff>314325</xdr:colOff>
          <xdr:row>3</xdr:row>
          <xdr:rowOff>116626</xdr:rowOff>
        </xdr:to>
        <xdr:pic>
          <xdr:nvPicPr>
            <xdr:cNvPr id="2" name="Picture 1">
              <a:extLst>
                <a:ext uri="{FF2B5EF4-FFF2-40B4-BE49-F238E27FC236}">
                  <a16:creationId xmlns:a16="http://schemas.microsoft.com/office/drawing/2014/main" id="{6D87369A-81CF-46CA-BD15-9AF2EC2B9ED6}"/>
                </a:ext>
              </a:extLst>
            </xdr:cNvPr>
            <xdr:cNvPicPr>
              <a:picLocks noChangeAspect="1" noChangeArrowheads="1"/>
              <a:extLst>
                <a:ext uri="{84589F7E-364E-4C9E-8A38-B11213B215E9}">
                  <a14:cameraTool cellRange="Pictures" spid="_x0000_s6149"/>
                </a:ext>
              </a:extLst>
            </xdr:cNvPicPr>
          </xdr:nvPicPr>
          <xdr:blipFill>
            <a:blip xmlns:r="http://schemas.openxmlformats.org/officeDocument/2006/relationships" r:embed="rId1"/>
            <a:srcRect/>
            <a:stretch>
              <a:fillRect/>
            </a:stretch>
          </xdr:blipFill>
          <xdr:spPr bwMode="auto">
            <a:xfrm>
              <a:off x="7467600" y="69001"/>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0</xdr:row>
          <xdr:rowOff>165100</xdr:rowOff>
        </xdr:from>
        <xdr:to>
          <xdr:col>11</xdr:col>
          <xdr:colOff>266700</xdr:colOff>
          <xdr:row>4</xdr:row>
          <xdr:rowOff>88900</xdr:rowOff>
        </xdr:to>
        <xdr:pic>
          <xdr:nvPicPr>
            <xdr:cNvPr id="2" name="Picture 1">
              <a:extLst>
                <a:ext uri="{FF2B5EF4-FFF2-40B4-BE49-F238E27FC236}">
                  <a16:creationId xmlns:a16="http://schemas.microsoft.com/office/drawing/2014/main" id="{E8A122EA-EB83-414D-89CF-D49F85DD4726}"/>
                </a:ext>
              </a:extLst>
            </xdr:cNvPr>
            <xdr:cNvPicPr>
              <a:picLocks noChangeAspect="1" noChangeArrowheads="1"/>
              <a:extLst>
                <a:ext uri="{84589F7E-364E-4C9E-8A38-B11213B215E9}">
                  <a14:cameraTool cellRange="Pictures" spid="_x0000_s7173"/>
                </a:ext>
              </a:extLst>
            </xdr:cNvPicPr>
          </xdr:nvPicPr>
          <xdr:blipFill>
            <a:blip xmlns:r="http://schemas.openxmlformats.org/officeDocument/2006/relationships" r:embed="rId1"/>
            <a:srcRect/>
            <a:stretch>
              <a:fillRect/>
            </a:stretch>
          </xdr:blipFill>
          <xdr:spPr bwMode="auto">
            <a:xfrm>
              <a:off x="7171267" y="165100"/>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2200275</xdr:colOff>
          <xdr:row>0</xdr:row>
          <xdr:rowOff>85725</xdr:rowOff>
        </xdr:from>
        <xdr:to>
          <xdr:col>17</xdr:col>
          <xdr:colOff>0</xdr:colOff>
          <xdr:row>4</xdr:row>
          <xdr:rowOff>142875</xdr:rowOff>
        </xdr:to>
        <xdr:pic>
          <xdr:nvPicPr>
            <xdr:cNvPr id="2" name="Picture 1">
              <a:extLst>
                <a:ext uri="{FF2B5EF4-FFF2-40B4-BE49-F238E27FC236}">
                  <a16:creationId xmlns:a16="http://schemas.microsoft.com/office/drawing/2014/main" id="{2DDD30BA-56A7-4F03-99A1-28D716592BF6}"/>
                </a:ext>
              </a:extLst>
            </xdr:cNvPr>
            <xdr:cNvPicPr>
              <a:picLocks noChangeAspect="1" noChangeArrowheads="1"/>
              <a:extLst>
                <a:ext uri="{84589F7E-364E-4C9E-8A38-B11213B215E9}">
                  <a14:cameraTool cellRange="Pictures" spid="_x0000_s8197"/>
                </a:ext>
              </a:extLst>
            </xdr:cNvPicPr>
          </xdr:nvPicPr>
          <xdr:blipFill>
            <a:blip xmlns:r="http://schemas.openxmlformats.org/officeDocument/2006/relationships" r:embed="rId1"/>
            <a:srcRect/>
            <a:stretch>
              <a:fillRect/>
            </a:stretch>
          </xdr:blipFill>
          <xdr:spPr bwMode="auto">
            <a:xfrm>
              <a:off x="13725525" y="85725"/>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265019</xdr:colOff>
          <xdr:row>57</xdr:row>
          <xdr:rowOff>45945</xdr:rowOff>
        </xdr:from>
        <xdr:to>
          <xdr:col>17</xdr:col>
          <xdr:colOff>312644</xdr:colOff>
          <xdr:row>61</xdr:row>
          <xdr:rowOff>7845</xdr:rowOff>
        </xdr:to>
        <xdr:pic>
          <xdr:nvPicPr>
            <xdr:cNvPr id="2" name="Picture 1">
              <a:extLst>
                <a:ext uri="{FF2B5EF4-FFF2-40B4-BE49-F238E27FC236}">
                  <a16:creationId xmlns:a16="http://schemas.microsoft.com/office/drawing/2014/main" id="{21FE99A0-260A-4D0B-9F96-05A7968130E3}"/>
                </a:ext>
              </a:extLst>
            </xdr:cNvPr>
            <xdr:cNvPicPr>
              <a:picLocks noChangeAspect="1" noChangeArrowheads="1"/>
              <a:extLst>
                <a:ext uri="{84589F7E-364E-4C9E-8A38-B11213B215E9}">
                  <a14:cameraTool cellRange="Pictures" spid="_x0000_s9221"/>
                </a:ext>
              </a:extLst>
            </xdr:cNvPicPr>
          </xdr:nvPicPr>
          <xdr:blipFill>
            <a:blip xmlns:r="http://schemas.openxmlformats.org/officeDocument/2006/relationships" r:embed="rId1"/>
            <a:srcRect/>
            <a:stretch>
              <a:fillRect/>
            </a:stretch>
          </xdr:blipFill>
          <xdr:spPr bwMode="auto">
            <a:xfrm>
              <a:off x="12828494" y="11666445"/>
              <a:ext cx="1466850" cy="8763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3</xdr:col>
      <xdr:colOff>208804</xdr:colOff>
      <xdr:row>2898</xdr:row>
      <xdr:rowOff>98502</xdr:rowOff>
    </xdr:from>
    <xdr:to>
      <xdr:col>3</xdr:col>
      <xdr:colOff>1578162</xdr:colOff>
      <xdr:row>2898</xdr:row>
      <xdr:rowOff>619452</xdr:rowOff>
    </xdr:to>
    <xdr:pic>
      <xdr:nvPicPr>
        <xdr:cNvPr id="2" name="Picture 1">
          <a:extLst>
            <a:ext uri="{FF2B5EF4-FFF2-40B4-BE49-F238E27FC236}">
              <a16:creationId xmlns:a16="http://schemas.microsoft.com/office/drawing/2014/main" id="{872E9A48-204A-4421-8933-D4FE6F7F09E2}"/>
            </a:ext>
          </a:extLst>
        </xdr:cNvPr>
        <xdr:cNvPicPr>
          <a:picLocks noChangeAspect="1"/>
        </xdr:cNvPicPr>
      </xdr:nvPicPr>
      <xdr:blipFill rotWithShape="1">
        <a:blip xmlns:r="http://schemas.openxmlformats.org/officeDocument/2006/relationships" r:embed="rId1"/>
        <a:srcRect l="1" t="-3688" r="-46" b="-3279"/>
        <a:stretch/>
      </xdr:blipFill>
      <xdr:spPr>
        <a:xfrm>
          <a:off x="4314079" y="474348252"/>
          <a:ext cx="1255058" cy="520950"/>
        </a:xfrm>
        <a:prstGeom prst="rect">
          <a:avLst/>
        </a:prstGeom>
      </xdr:spPr>
    </xdr:pic>
    <xdr:clientData/>
  </xdr:twoCellAnchor>
  <xdr:twoCellAnchor>
    <xdr:from>
      <xdr:col>3</xdr:col>
      <xdr:colOff>156883</xdr:colOff>
      <xdr:row>2902</xdr:row>
      <xdr:rowOff>247875</xdr:rowOff>
    </xdr:from>
    <xdr:to>
      <xdr:col>3</xdr:col>
      <xdr:colOff>2040031</xdr:colOff>
      <xdr:row>2902</xdr:row>
      <xdr:rowOff>748890</xdr:rowOff>
    </xdr:to>
    <xdr:pic>
      <xdr:nvPicPr>
        <xdr:cNvPr id="3" name="Picture 5" descr="N:\Think Tank\GENERAL\Artwork\Connective Logo\Connective Advance_outlined.png">
          <a:extLst>
            <a:ext uri="{FF2B5EF4-FFF2-40B4-BE49-F238E27FC236}">
              <a16:creationId xmlns:a16="http://schemas.microsoft.com/office/drawing/2014/main" id="{A7B8111A-5064-46D5-8744-0E619E9F8CE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62158" y="478002825"/>
          <a:ext cx="1311648" cy="501015"/>
        </a:xfrm>
        <a:prstGeom prst="rect">
          <a:avLst/>
        </a:prstGeom>
        <a:noFill/>
        <a:ln>
          <a:noFill/>
        </a:ln>
      </xdr:spPr>
    </xdr:pic>
    <xdr:clientData/>
  </xdr:twoCellAnchor>
  <xdr:twoCellAnchor editAs="oneCell">
    <xdr:from>
      <xdr:col>3</xdr:col>
      <xdr:colOff>306481</xdr:colOff>
      <xdr:row>2899</xdr:row>
      <xdr:rowOff>78441</xdr:rowOff>
    </xdr:from>
    <xdr:to>
      <xdr:col>4</xdr:col>
      <xdr:colOff>220522</xdr:colOff>
      <xdr:row>2899</xdr:row>
      <xdr:rowOff>669552</xdr:rowOff>
    </xdr:to>
    <xdr:pic>
      <xdr:nvPicPr>
        <xdr:cNvPr id="4" name="Picture 2">
          <a:extLst>
            <a:ext uri="{FF2B5EF4-FFF2-40B4-BE49-F238E27FC236}">
              <a16:creationId xmlns:a16="http://schemas.microsoft.com/office/drawing/2014/main" id="{0A6314F4-9740-4198-ABAF-99FC1AEC5803}"/>
            </a:ext>
          </a:extLst>
        </xdr:cNvPr>
        <xdr:cNvPicPr>
          <a:picLocks noChangeAspect="1"/>
        </xdr:cNvPicPr>
      </xdr:nvPicPr>
      <xdr:blipFill>
        <a:blip xmlns:r="http://schemas.openxmlformats.org/officeDocument/2006/relationships" r:embed="rId3"/>
        <a:stretch>
          <a:fillRect/>
        </a:stretch>
      </xdr:blipFill>
      <xdr:spPr>
        <a:xfrm>
          <a:off x="4411756" y="475204491"/>
          <a:ext cx="1380891" cy="591111"/>
        </a:xfrm>
        <a:prstGeom prst="rect">
          <a:avLst/>
        </a:prstGeom>
      </xdr:spPr>
    </xdr:pic>
    <xdr:clientData/>
  </xdr:twoCellAnchor>
  <xdr:twoCellAnchor>
    <xdr:from>
      <xdr:col>3</xdr:col>
      <xdr:colOff>168089</xdr:colOff>
      <xdr:row>2900</xdr:row>
      <xdr:rowOff>123264</xdr:rowOff>
    </xdr:from>
    <xdr:to>
      <xdr:col>3</xdr:col>
      <xdr:colOff>1559859</xdr:colOff>
      <xdr:row>2900</xdr:row>
      <xdr:rowOff>791135</xdr:rowOff>
    </xdr:to>
    <xdr:pic>
      <xdr:nvPicPr>
        <xdr:cNvPr id="5" name="Picture 3">
          <a:extLst>
            <a:ext uri="{FF2B5EF4-FFF2-40B4-BE49-F238E27FC236}">
              <a16:creationId xmlns:a16="http://schemas.microsoft.com/office/drawing/2014/main" id="{A52B2E12-4CCF-409E-870D-5A6D5E57E18C}"/>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9646" t="8161" r="1617" b="10589"/>
        <a:stretch/>
      </xdr:blipFill>
      <xdr:spPr bwMode="auto">
        <a:xfrm>
          <a:off x="4273364" y="476125614"/>
          <a:ext cx="1296520" cy="6678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112060</xdr:colOff>
      <xdr:row>2905</xdr:row>
      <xdr:rowOff>212912</xdr:rowOff>
    </xdr:from>
    <xdr:to>
      <xdr:col>3</xdr:col>
      <xdr:colOff>1411942</xdr:colOff>
      <xdr:row>2905</xdr:row>
      <xdr:rowOff>616324</xdr:rowOff>
    </xdr:to>
    <xdr:pic>
      <xdr:nvPicPr>
        <xdr:cNvPr id="6" name="Picture 5">
          <a:extLst>
            <a:ext uri="{FF2B5EF4-FFF2-40B4-BE49-F238E27FC236}">
              <a16:creationId xmlns:a16="http://schemas.microsoft.com/office/drawing/2014/main" id="{09817661-4687-40C5-8AEB-169EA3E23FCE}"/>
            </a:ext>
          </a:extLst>
        </xdr:cNvPr>
        <xdr:cNvPicPr>
          <a:picLocks noChangeAspect="1"/>
        </xdr:cNvPicPr>
      </xdr:nvPicPr>
      <xdr:blipFill rotWithShape="1">
        <a:blip xmlns:r="http://schemas.openxmlformats.org/officeDocument/2006/relationships" r:embed="rId5">
          <a:extLst>
            <a:ext uri="{BEBA8EAE-BF5A-486C-A8C5-ECC9F3942E4B}">
              <a14:imgProps xmlns:a14="http://schemas.microsoft.com/office/drawing/2010/main">
                <a14:imgLayer r:embed="rId6">
                  <a14:imgEffect>
                    <a14:sharpenSoften amount="-25000"/>
                  </a14:imgEffect>
                </a14:imgLayer>
              </a14:imgProps>
            </a:ext>
          </a:extLst>
        </a:blip>
        <a:srcRect t="1836"/>
        <a:stretch/>
      </xdr:blipFill>
      <xdr:spPr>
        <a:xfrm>
          <a:off x="4217335" y="480596762"/>
          <a:ext cx="1299882" cy="403412"/>
        </a:xfrm>
        <a:prstGeom prst="rect">
          <a:avLst/>
        </a:prstGeom>
        <a:effectLst/>
      </xdr:spPr>
    </xdr:pic>
    <xdr:clientData/>
  </xdr:twoCellAnchor>
  <xdr:twoCellAnchor editAs="oneCell">
    <xdr:from>
      <xdr:col>3</xdr:col>
      <xdr:colOff>264583</xdr:colOff>
      <xdr:row>2904</xdr:row>
      <xdr:rowOff>110100</xdr:rowOff>
    </xdr:from>
    <xdr:to>
      <xdr:col>4</xdr:col>
      <xdr:colOff>95250</xdr:colOff>
      <xdr:row>2904</xdr:row>
      <xdr:rowOff>702057</xdr:rowOff>
    </xdr:to>
    <xdr:pic>
      <xdr:nvPicPr>
        <xdr:cNvPr id="7" name="Picture 6">
          <a:extLst>
            <a:ext uri="{FF2B5EF4-FFF2-40B4-BE49-F238E27FC236}">
              <a16:creationId xmlns:a16="http://schemas.microsoft.com/office/drawing/2014/main" id="{195C0B2A-E4BD-4ADE-AF03-15DCF99190EB}"/>
            </a:ext>
          </a:extLst>
        </xdr:cNvPr>
        <xdr:cNvPicPr>
          <a:picLocks noChangeAspect="1"/>
        </xdr:cNvPicPr>
      </xdr:nvPicPr>
      <xdr:blipFill>
        <a:blip xmlns:r="http://schemas.openxmlformats.org/officeDocument/2006/relationships" r:embed="rId7"/>
        <a:stretch>
          <a:fillRect/>
        </a:stretch>
      </xdr:blipFill>
      <xdr:spPr>
        <a:xfrm>
          <a:off x="4369858" y="479617650"/>
          <a:ext cx="1297517" cy="591957"/>
        </a:xfrm>
        <a:prstGeom prst="rect">
          <a:avLst/>
        </a:prstGeom>
      </xdr:spPr>
    </xdr:pic>
    <xdr:clientData/>
  </xdr:twoCellAnchor>
  <xdr:twoCellAnchor editAs="oneCell">
    <xdr:from>
      <xdr:col>3</xdr:col>
      <xdr:colOff>1</xdr:colOff>
      <xdr:row>2907</xdr:row>
      <xdr:rowOff>47624</xdr:rowOff>
    </xdr:from>
    <xdr:to>
      <xdr:col>3</xdr:col>
      <xdr:colOff>1321595</xdr:colOff>
      <xdr:row>2907</xdr:row>
      <xdr:rowOff>1381310</xdr:rowOff>
    </xdr:to>
    <xdr:pic>
      <xdr:nvPicPr>
        <xdr:cNvPr id="8" name="Picture 7">
          <a:extLst>
            <a:ext uri="{FF2B5EF4-FFF2-40B4-BE49-F238E27FC236}">
              <a16:creationId xmlns:a16="http://schemas.microsoft.com/office/drawing/2014/main" id="{7C607373-8C1B-45FF-99C8-76CA944BEFBB}"/>
            </a:ext>
          </a:extLst>
        </xdr:cNvPr>
        <xdr:cNvPicPr>
          <a:picLocks noChangeAspect="1"/>
        </xdr:cNvPicPr>
      </xdr:nvPicPr>
      <xdr:blipFill>
        <a:blip xmlns:r="http://schemas.openxmlformats.org/officeDocument/2006/relationships" r:embed="rId8"/>
        <a:stretch>
          <a:fillRect/>
        </a:stretch>
      </xdr:blipFill>
      <xdr:spPr>
        <a:xfrm>
          <a:off x="4105276" y="482345999"/>
          <a:ext cx="1321594" cy="1333686"/>
        </a:xfrm>
        <a:prstGeom prst="rect">
          <a:avLst/>
        </a:prstGeom>
      </xdr:spPr>
    </xdr:pic>
    <xdr:clientData/>
  </xdr:twoCellAnchor>
  <xdr:twoCellAnchor editAs="oneCell">
    <xdr:from>
      <xdr:col>3</xdr:col>
      <xdr:colOff>29280</xdr:colOff>
      <xdr:row>2908</xdr:row>
      <xdr:rowOff>484694</xdr:rowOff>
    </xdr:from>
    <xdr:to>
      <xdr:col>3</xdr:col>
      <xdr:colOff>1349376</xdr:colOff>
      <xdr:row>2908</xdr:row>
      <xdr:rowOff>1079500</xdr:rowOff>
    </xdr:to>
    <xdr:pic>
      <xdr:nvPicPr>
        <xdr:cNvPr id="9" name="Picture 8">
          <a:extLst>
            <a:ext uri="{FF2B5EF4-FFF2-40B4-BE49-F238E27FC236}">
              <a16:creationId xmlns:a16="http://schemas.microsoft.com/office/drawing/2014/main" id="{AB88FE04-6B79-4136-84BA-07162894793D}"/>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134555" y="484192769"/>
          <a:ext cx="1320096" cy="594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1547812</xdr:colOff>
      <xdr:row>2901</xdr:row>
      <xdr:rowOff>202407</xdr:rowOff>
    </xdr:from>
    <xdr:to>
      <xdr:col>4</xdr:col>
      <xdr:colOff>45384</xdr:colOff>
      <xdr:row>2901</xdr:row>
      <xdr:rowOff>750095</xdr:rowOff>
    </xdr:to>
    <xdr:pic>
      <xdr:nvPicPr>
        <xdr:cNvPr id="10" name="Picture 9">
          <a:extLst>
            <a:ext uri="{FF2B5EF4-FFF2-40B4-BE49-F238E27FC236}">
              <a16:creationId xmlns:a16="http://schemas.microsoft.com/office/drawing/2014/main" id="{1D18AB06-F1E6-48D6-9056-8C03DEB4CB6E}"/>
            </a:ext>
          </a:extLst>
        </xdr:cNvPr>
        <xdr:cNvPicPr>
          <a:picLocks noChangeAspect="1"/>
        </xdr:cNvPicPr>
      </xdr:nvPicPr>
      <xdr:blipFill>
        <a:blip xmlns:r="http://schemas.openxmlformats.org/officeDocument/2006/relationships" r:embed="rId10"/>
        <a:stretch>
          <a:fillRect/>
        </a:stretch>
      </xdr:blipFill>
      <xdr:spPr>
        <a:xfrm>
          <a:off x="4090987" y="477081057"/>
          <a:ext cx="1526522" cy="547688"/>
        </a:xfrm>
        <a:prstGeom prst="rect">
          <a:avLst/>
        </a:prstGeom>
      </xdr:spPr>
    </xdr:pic>
    <xdr:clientData/>
  </xdr:twoCellAnchor>
  <xdr:twoCellAnchor editAs="oneCell">
    <xdr:from>
      <xdr:col>3</xdr:col>
      <xdr:colOff>234750</xdr:colOff>
      <xdr:row>2903</xdr:row>
      <xdr:rowOff>200025</xdr:rowOff>
    </xdr:from>
    <xdr:to>
      <xdr:col>3</xdr:col>
      <xdr:colOff>1123950</xdr:colOff>
      <xdr:row>2903</xdr:row>
      <xdr:rowOff>657225</xdr:rowOff>
    </xdr:to>
    <xdr:pic>
      <xdr:nvPicPr>
        <xdr:cNvPr id="11" name="Picture 10">
          <a:extLst>
            <a:ext uri="{FF2B5EF4-FFF2-40B4-BE49-F238E27FC236}">
              <a16:creationId xmlns:a16="http://schemas.microsoft.com/office/drawing/2014/main" id="{52C2CF88-C01E-4565-AD43-9B0374972E96}"/>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340025" y="478831275"/>
          <a:ext cx="8892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19049</xdr:colOff>
      <xdr:row>2906</xdr:row>
      <xdr:rowOff>349315</xdr:rowOff>
    </xdr:from>
    <xdr:to>
      <xdr:col>4</xdr:col>
      <xdr:colOff>209550</xdr:colOff>
      <xdr:row>2906</xdr:row>
      <xdr:rowOff>809625</xdr:rowOff>
    </xdr:to>
    <xdr:pic>
      <xdr:nvPicPr>
        <xdr:cNvPr id="12" name="Picture 11">
          <a:extLst>
            <a:ext uri="{FF2B5EF4-FFF2-40B4-BE49-F238E27FC236}">
              <a16:creationId xmlns:a16="http://schemas.microsoft.com/office/drawing/2014/main" id="{58DBD970-AFFD-4598-A834-FBAFAC4CD03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124324" y="481561840"/>
          <a:ext cx="1657351" cy="460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ervicing%20Calculations\External%20Master\MASTER%20-%20Serviceability%20Calculator%20Master%20-%2003082026.xlsm" TargetMode="External"/><Relationship Id="rId1" Type="http://schemas.openxmlformats.org/officeDocument/2006/relationships/externalLinkPath" Target="file:///T:\Servicing%20Calculations\External%20Master\MASTER%20-%20Serviceability%20Calculator%20Master%20-%200308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cros"/>
      <sheetName val="Instructions"/>
      <sheetName val="Serviceability"/>
      <sheetName val="Applicants"/>
      <sheetName val="Loans"/>
      <sheetName val="Properties &amp; Ind Income"/>
      <sheetName val="Company Profit &amp; Loss"/>
      <sheetName val="Partnership Profit &amp; Loss"/>
      <sheetName val="Trust Profit &amp; Loss"/>
      <sheetName val="Sole Trader Profit &amp; Loss"/>
      <sheetName val="Balance Sheet"/>
      <sheetName val="SMSF Calculator"/>
      <sheetName val="Assumptions"/>
      <sheetName val="Chan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Christine Zeng" id="{CAB7F8FF-C35C-4AD4-9675-1B9C8BE3A238}" userId="S::czeng@thinktank.net.au::f2c38188-7bd6-4104-8b74-9a09a34b94e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7" dT="2024-03-06T02:30:19.93" personId="{CAB7F8FF-C35C-4AD4-9675-1B9C8BE3A238}" id="{4596B515-DF02-4E3D-A5B5-EDB590757B58}">
    <text>This is existing/old stressed P&amp;I Pmt without Top Up loan logic</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trumpexcel.com/picture-lookup/"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E03AC-0967-4337-B0D1-03D2661BAF94}">
  <sheetPr codeName="Sheet12">
    <tabColor theme="1"/>
    <pageSetUpPr fitToPage="1"/>
  </sheetPr>
  <dimension ref="A1:AT2907"/>
  <sheetViews>
    <sheetView showGridLines="0" topLeftCell="D1" zoomScaleNormal="100" workbookViewId="0">
      <selection activeCell="D41" sqref="A41:XFD114"/>
    </sheetView>
  </sheetViews>
  <sheetFormatPr defaultColWidth="14.7109375" defaultRowHeight="12.75" x14ac:dyDescent="0.2"/>
  <cols>
    <col min="1" max="9" width="15.7109375" style="3" customWidth="1"/>
    <col min="10" max="10" width="18.85546875" style="3" customWidth="1"/>
    <col min="11" max="17" width="15.7109375" style="3" customWidth="1"/>
    <col min="18" max="18" width="14.42578125" style="3" hidden="1" customWidth="1"/>
    <col min="19" max="19" width="14.7109375" style="3" customWidth="1"/>
    <col min="20" max="22" width="14.7109375" style="3"/>
    <col min="23" max="24" width="14.7109375" style="3" customWidth="1"/>
    <col min="25" max="25" width="14.7109375" style="42" customWidth="1"/>
    <col min="26" max="28" width="14.7109375" style="3" customWidth="1"/>
    <col min="29" max="16384" width="14.7109375" style="3"/>
  </cols>
  <sheetData>
    <row r="1" spans="1:17" x14ac:dyDescent="0.2">
      <c r="A1" s="2" t="s">
        <v>1</v>
      </c>
      <c r="J1" s="4"/>
      <c r="K1" s="4"/>
    </row>
    <row r="2" spans="1:17" ht="13.5" thickBot="1" x14ac:dyDescent="0.25">
      <c r="A2" s="2" t="s">
        <v>2</v>
      </c>
      <c r="G2" s="5"/>
      <c r="J2" s="6" t="s">
        <v>3</v>
      </c>
      <c r="K2" s="6"/>
      <c r="M2" s="2" t="s">
        <v>4</v>
      </c>
    </row>
    <row r="3" spans="1:17" ht="13.5" thickTop="1" x14ac:dyDescent="0.2">
      <c r="A3" s="7"/>
      <c r="B3" s="8"/>
      <c r="C3" s="9"/>
      <c r="D3" s="9" t="s">
        <v>5</v>
      </c>
      <c r="E3" s="9" t="s">
        <v>6</v>
      </c>
      <c r="F3" s="9" t="s">
        <v>7</v>
      </c>
      <c r="G3" s="9" t="s">
        <v>8</v>
      </c>
      <c r="H3" s="9" t="s">
        <v>9</v>
      </c>
      <c r="I3" s="10" t="s">
        <v>10</v>
      </c>
      <c r="J3" s="11" t="s">
        <v>11</v>
      </c>
      <c r="K3" s="11" t="s">
        <v>12</v>
      </c>
      <c r="M3" s="12" t="s">
        <v>5</v>
      </c>
      <c r="N3" s="13" t="s">
        <v>6</v>
      </c>
      <c r="O3" s="13" t="s">
        <v>7</v>
      </c>
      <c r="P3" s="14" t="s">
        <v>8</v>
      </c>
      <c r="Q3" s="15" t="s">
        <v>9</v>
      </c>
    </row>
    <row r="4" spans="1:17" ht="13.5" thickBot="1" x14ac:dyDescent="0.25">
      <c r="A4" s="16"/>
      <c r="B4" s="17"/>
      <c r="C4" s="18" t="s">
        <v>13</v>
      </c>
      <c r="D4" s="19">
        <f>IF(C4="","",IF(K35=0,0,(G35+H35+I35)/(K35+S35)))</f>
        <v>0</v>
      </c>
      <c r="E4" s="20">
        <f>IF(C4="","",IF(X35=0,0,(G35+H35+I35)/X35))</f>
        <v>0</v>
      </c>
      <c r="F4" s="20">
        <f>IF(C4="","",IF(K35+M35+N35=0,0,(G35+H35+I35)/(K35+M35)))</f>
        <v>0</v>
      </c>
      <c r="G4" s="19">
        <f>ROUND(IF(C4="","",IF(K35+M35+N35=0,0,(G35+H35+I35)/(K35+M35+N35))),2)</f>
        <v>0</v>
      </c>
      <c r="H4" s="20">
        <f>IF(C4="","",IF(G35+H35+I35=0,0,Y35/(G35+H35+I35)))</f>
        <v>0</v>
      </c>
      <c r="I4" s="21">
        <f>ROUND(IF(C4="","",IF(K35+M35+N35=0,0,(G35+H35+I35-P35-O35)/(K35+M35+N35))),2)</f>
        <v>0</v>
      </c>
      <c r="J4" s="22">
        <f>IF(C4="","",IF(K35+M35+R35=0,0,(G35+H35+I35)/(K35+M35+R35)))</f>
        <v>0</v>
      </c>
      <c r="K4" s="22">
        <f>IF(C4="","",IF(K35+M35+R35=0,0,(G35+H35+I35-P35-O35)/(K35+M35+R35)))</f>
        <v>0</v>
      </c>
      <c r="M4" s="23">
        <f>IFERROR(ROUND('SMSF Calculator'!M58,2),0)</f>
        <v>0</v>
      </c>
      <c r="N4" s="20" t="str">
        <f>'SMSF Calculator'!M59</f>
        <v/>
      </c>
      <c r="O4" s="20" t="str">
        <f>'SMSF Calculator'!M61</f>
        <v/>
      </c>
      <c r="P4" s="24">
        <f>IFERROR(ROUND('SMSF Calculator'!M62,2),0)</f>
        <v>0</v>
      </c>
      <c r="Q4" s="25" t="s">
        <v>14</v>
      </c>
    </row>
    <row r="5" spans="1:17" ht="14.25" thickTop="1" thickBot="1" x14ac:dyDescent="0.25">
      <c r="G5" s="26" t="str">
        <f>IF(AND(G4&gt;1,L35&lt;Assumptions!$B$13,O35&gt;L35*Assumptions!$B$14,Applicants!J9="No"),"Escalate","")</f>
        <v/>
      </c>
      <c r="J5" s="6"/>
      <c r="K5" s="6"/>
    </row>
    <row r="6" spans="1:17" ht="14.25" thickTop="1" thickBot="1" x14ac:dyDescent="0.25">
      <c r="A6" s="7" t="s">
        <v>15</v>
      </c>
      <c r="B6" s="8" t="s">
        <v>16</v>
      </c>
      <c r="C6" s="9" t="s">
        <v>17</v>
      </c>
      <c r="D6" s="9" t="s">
        <v>5</v>
      </c>
      <c r="E6" s="9" t="s">
        <v>6</v>
      </c>
      <c r="F6" s="9" t="s">
        <v>7</v>
      </c>
      <c r="G6" s="9" t="s">
        <v>8</v>
      </c>
      <c r="H6" s="9" t="s">
        <v>9</v>
      </c>
      <c r="I6" s="10" t="s">
        <v>10</v>
      </c>
    </row>
    <row r="7" spans="1:17" ht="13.5" thickTop="1" x14ac:dyDescent="0.2">
      <c r="A7" s="27">
        <f>IF(Applicants!B9="","",Applicants!B9)</f>
        <v>1</v>
      </c>
      <c r="B7" s="28" t="str">
        <f>IF(Applicants!C9="","",Applicants!C9)</f>
        <v/>
      </c>
      <c r="C7" s="29" t="str">
        <f>IF(Applicants!D9="","",Applicants!D9)</f>
        <v/>
      </c>
      <c r="D7" s="30" t="str">
        <f>IF(C7="","",IF(K23=0,0,(G23+H23+I23)/(K23+S23)))</f>
        <v/>
      </c>
      <c r="E7" s="31" t="str">
        <f>IF(C7="","",IF(X23=0,0,(G23+H23+I23)/X23))</f>
        <v/>
      </c>
      <c r="F7" s="31" t="str">
        <f t="shared" ref="F7:F18" si="0">IF(C7="","",IF(K23+M23+N23=0,0,(G23+H23+I23)/(K23+M23)))</f>
        <v/>
      </c>
      <c r="G7" s="30" t="str">
        <f t="shared" ref="G7:G18" si="1">IF(C7="","",IF(K23+M23+N23=0,0,(G23+H23+I23)/(K23+M23+N23)))</f>
        <v/>
      </c>
      <c r="H7" s="31" t="str">
        <f t="shared" ref="H7:H18" si="2">IF(C7="","",IF(G23+H23+I23=0,0,Y23/(G23+H23+I23)))</f>
        <v/>
      </c>
      <c r="I7" s="32" t="str">
        <f t="shared" ref="I7:I18" si="3">IF(C7="","",IF(K23+M23+N23=0,0,(G23+H23+I23-P23-O23)/(K23+M23+N23)))</f>
        <v/>
      </c>
      <c r="M7" s="7" t="s">
        <v>18</v>
      </c>
      <c r="N7" s="9"/>
      <c r="O7" s="9"/>
      <c r="P7" s="10"/>
    </row>
    <row r="8" spans="1:17" x14ac:dyDescent="0.2">
      <c r="A8" s="33">
        <f>IF(Applicants!B10="","",Applicants!B10)</f>
        <v>2</v>
      </c>
      <c r="B8" s="34" t="str">
        <f>IF(Applicants!C10="","",Applicants!C10)</f>
        <v/>
      </c>
      <c r="C8" s="35" t="str">
        <f>IF(Applicants!D10="","",Applicants!D10)</f>
        <v/>
      </c>
      <c r="D8" s="30" t="str">
        <f t="shared" ref="D8:D18" si="4">IF(C8="","",IF(K24=0,0,(G24+H24+I24)/(K24+S24)))</f>
        <v/>
      </c>
      <c r="E8" s="31" t="str">
        <f t="shared" ref="E8:E18" si="5">IF(C8="","",IF(X24=0,0,(G24+H24+I24)/X24))</f>
        <v/>
      </c>
      <c r="F8" s="31" t="str">
        <f t="shared" si="0"/>
        <v/>
      </c>
      <c r="G8" s="30" t="str">
        <f t="shared" si="1"/>
        <v/>
      </c>
      <c r="H8" s="31" t="str">
        <f t="shared" si="2"/>
        <v/>
      </c>
      <c r="I8" s="32" t="str">
        <f t="shared" si="3"/>
        <v/>
      </c>
      <c r="M8" s="36"/>
      <c r="N8" s="37"/>
      <c r="O8" s="37"/>
      <c r="P8" s="38"/>
    </row>
    <row r="9" spans="1:17" x14ac:dyDescent="0.2">
      <c r="A9" s="33">
        <f>IF(Applicants!B11="","",Applicants!B11)</f>
        <v>3</v>
      </c>
      <c r="B9" s="34" t="str">
        <f>IF(Applicants!C11="","",Applicants!C11)</f>
        <v/>
      </c>
      <c r="C9" s="35" t="str">
        <f>IF(Applicants!D11="","",Applicants!D11)</f>
        <v/>
      </c>
      <c r="D9" s="30" t="str">
        <f t="shared" si="4"/>
        <v/>
      </c>
      <c r="E9" s="31" t="str">
        <f t="shared" si="5"/>
        <v/>
      </c>
      <c r="F9" s="31" t="str">
        <f t="shared" si="0"/>
        <v/>
      </c>
      <c r="G9" s="30" t="str">
        <f t="shared" si="1"/>
        <v/>
      </c>
      <c r="H9" s="31" t="str">
        <f t="shared" si="2"/>
        <v/>
      </c>
      <c r="I9" s="32" t="str">
        <f t="shared" si="3"/>
        <v/>
      </c>
      <c r="M9" s="36"/>
      <c r="N9" s="37"/>
      <c r="O9" s="37"/>
      <c r="P9" s="38"/>
    </row>
    <row r="10" spans="1:17" x14ac:dyDescent="0.2">
      <c r="A10" s="33">
        <f>IF(Applicants!B12="","",Applicants!B12)</f>
        <v>4</v>
      </c>
      <c r="B10" s="34" t="str">
        <f>IF(Applicants!C12="","",Applicants!C12)</f>
        <v/>
      </c>
      <c r="C10" s="35" t="str">
        <f>IF(Applicants!D12="","",Applicants!D12)</f>
        <v/>
      </c>
      <c r="D10" s="30" t="str">
        <f t="shared" si="4"/>
        <v/>
      </c>
      <c r="E10" s="31" t="str">
        <f t="shared" si="5"/>
        <v/>
      </c>
      <c r="F10" s="31" t="str">
        <f t="shared" si="0"/>
        <v/>
      </c>
      <c r="G10" s="30" t="str">
        <f t="shared" si="1"/>
        <v/>
      </c>
      <c r="H10" s="31" t="str">
        <f t="shared" si="2"/>
        <v/>
      </c>
      <c r="I10" s="32" t="str">
        <f t="shared" si="3"/>
        <v/>
      </c>
      <c r="M10" s="36"/>
      <c r="N10" s="37"/>
      <c r="O10" s="37"/>
      <c r="P10" s="38"/>
    </row>
    <row r="11" spans="1:17" ht="13.5" thickBot="1" x14ac:dyDescent="0.25">
      <c r="A11" s="33">
        <f>IF(Applicants!B13="","",Applicants!B13)</f>
        <v>5</v>
      </c>
      <c r="B11" s="34" t="str">
        <f>IF(Applicants!C13="","",Applicants!C13)</f>
        <v/>
      </c>
      <c r="C11" s="35" t="str">
        <f>IF(Applicants!D13="","",Applicants!D13)</f>
        <v/>
      </c>
      <c r="D11" s="30" t="str">
        <f t="shared" si="4"/>
        <v/>
      </c>
      <c r="E11" s="31" t="str">
        <f t="shared" si="5"/>
        <v/>
      </c>
      <c r="F11" s="31" t="str">
        <f t="shared" si="0"/>
        <v/>
      </c>
      <c r="G11" s="30" t="str">
        <f t="shared" si="1"/>
        <v/>
      </c>
      <c r="H11" s="31" t="str">
        <f t="shared" si="2"/>
        <v/>
      </c>
      <c r="I11" s="32" t="str">
        <f t="shared" si="3"/>
        <v/>
      </c>
      <c r="M11" s="39"/>
      <c r="N11" s="40"/>
      <c r="O11" s="40"/>
      <c r="P11" s="41"/>
    </row>
    <row r="12" spans="1:17" ht="13.5" thickTop="1" x14ac:dyDescent="0.2">
      <c r="A12" s="33">
        <f>IF(Applicants!B14="","",Applicants!B14)</f>
        <v>6</v>
      </c>
      <c r="B12" s="34" t="str">
        <f>IF(Applicants!C14="","",Applicants!C14)</f>
        <v/>
      </c>
      <c r="C12" s="35" t="str">
        <f>IF(Applicants!D14="","",Applicants!D14)</f>
        <v/>
      </c>
      <c r="D12" s="30" t="str">
        <f t="shared" si="4"/>
        <v/>
      </c>
      <c r="E12" s="31" t="str">
        <f t="shared" si="5"/>
        <v/>
      </c>
      <c r="F12" s="31" t="str">
        <f t="shared" si="0"/>
        <v/>
      </c>
      <c r="G12" s="30" t="str">
        <f t="shared" si="1"/>
        <v/>
      </c>
      <c r="H12" s="31" t="str">
        <f t="shared" si="2"/>
        <v/>
      </c>
      <c r="I12" s="32" t="str">
        <f t="shared" si="3"/>
        <v/>
      </c>
    </row>
    <row r="13" spans="1:17" x14ac:dyDescent="0.2">
      <c r="A13" s="33">
        <f>IF(Applicants!B15="","",Applicants!B15)</f>
        <v>7</v>
      </c>
      <c r="B13" s="34" t="str">
        <f>IF(Applicants!C15="","",Applicants!C15)</f>
        <v/>
      </c>
      <c r="C13" s="35" t="str">
        <f>IF(Applicants!D15="","",Applicants!D15)</f>
        <v/>
      </c>
      <c r="D13" s="30" t="str">
        <f t="shared" si="4"/>
        <v/>
      </c>
      <c r="E13" s="31" t="str">
        <f t="shared" si="5"/>
        <v/>
      </c>
      <c r="F13" s="31" t="str">
        <f t="shared" si="0"/>
        <v/>
      </c>
      <c r="G13" s="30" t="str">
        <f t="shared" si="1"/>
        <v/>
      </c>
      <c r="H13" s="31" t="str">
        <f t="shared" si="2"/>
        <v/>
      </c>
      <c r="I13" s="32" t="str">
        <f t="shared" si="3"/>
        <v/>
      </c>
    </row>
    <row r="14" spans="1:17" x14ac:dyDescent="0.2">
      <c r="A14" s="33">
        <f>IF(Applicants!B16="","",Applicants!B16)</f>
        <v>8</v>
      </c>
      <c r="B14" s="34" t="str">
        <f>IF(Applicants!C16="","",Applicants!C16)</f>
        <v/>
      </c>
      <c r="C14" s="35" t="str">
        <f>IF(Applicants!D16="","",Applicants!D16)</f>
        <v/>
      </c>
      <c r="D14" s="30" t="str">
        <f t="shared" si="4"/>
        <v/>
      </c>
      <c r="E14" s="31" t="str">
        <f t="shared" si="5"/>
        <v/>
      </c>
      <c r="F14" s="31" t="str">
        <f t="shared" si="0"/>
        <v/>
      </c>
      <c r="G14" s="30" t="str">
        <f t="shared" si="1"/>
        <v/>
      </c>
      <c r="H14" s="31" t="str">
        <f t="shared" si="2"/>
        <v/>
      </c>
      <c r="I14" s="32" t="str">
        <f t="shared" si="3"/>
        <v/>
      </c>
    </row>
    <row r="15" spans="1:17" x14ac:dyDescent="0.2">
      <c r="A15" s="33">
        <f>IF(Applicants!B17="","",Applicants!B17)</f>
        <v>9</v>
      </c>
      <c r="B15" s="34" t="str">
        <f>IF(Applicants!C17="","",Applicants!C17)</f>
        <v/>
      </c>
      <c r="C15" s="35" t="str">
        <f>IF(Applicants!D17="","",Applicants!D17)</f>
        <v/>
      </c>
      <c r="D15" s="30" t="str">
        <f t="shared" si="4"/>
        <v/>
      </c>
      <c r="E15" s="31" t="str">
        <f t="shared" si="5"/>
        <v/>
      </c>
      <c r="F15" s="31" t="str">
        <f t="shared" si="0"/>
        <v/>
      </c>
      <c r="G15" s="30" t="str">
        <f t="shared" si="1"/>
        <v/>
      </c>
      <c r="H15" s="31" t="str">
        <f t="shared" si="2"/>
        <v/>
      </c>
      <c r="I15" s="32" t="str">
        <f t="shared" si="3"/>
        <v/>
      </c>
    </row>
    <row r="16" spans="1:17" x14ac:dyDescent="0.2">
      <c r="A16" s="33">
        <f>IF(Applicants!B18="","",Applicants!B18)</f>
        <v>10</v>
      </c>
      <c r="B16" s="34" t="str">
        <f>IF(Applicants!C18="","",Applicants!C18)</f>
        <v/>
      </c>
      <c r="C16" s="35" t="str">
        <f>IF(Applicants!D18="","",Applicants!D18)</f>
        <v/>
      </c>
      <c r="D16" s="30" t="str">
        <f t="shared" si="4"/>
        <v/>
      </c>
      <c r="E16" s="31" t="str">
        <f t="shared" si="5"/>
        <v/>
      </c>
      <c r="F16" s="31" t="str">
        <f t="shared" si="0"/>
        <v/>
      </c>
      <c r="G16" s="30" t="str">
        <f t="shared" si="1"/>
        <v/>
      </c>
      <c r="H16" s="31" t="str">
        <f t="shared" si="2"/>
        <v/>
      </c>
      <c r="I16" s="32" t="str">
        <f t="shared" si="3"/>
        <v/>
      </c>
    </row>
    <row r="17" spans="1:25" x14ac:dyDescent="0.2">
      <c r="A17" s="33">
        <f>IF(Applicants!B19="","",Applicants!B19)</f>
        <v>11</v>
      </c>
      <c r="B17" s="34" t="str">
        <f>IF(Applicants!C19="","",Applicants!C19)</f>
        <v/>
      </c>
      <c r="C17" s="35" t="str">
        <f>IF(Applicants!D19="","",Applicants!D19)</f>
        <v/>
      </c>
      <c r="D17" s="30" t="str">
        <f t="shared" si="4"/>
        <v/>
      </c>
      <c r="E17" s="31" t="str">
        <f t="shared" si="5"/>
        <v/>
      </c>
      <c r="F17" s="31" t="str">
        <f t="shared" si="0"/>
        <v/>
      </c>
      <c r="G17" s="30" t="str">
        <f t="shared" si="1"/>
        <v/>
      </c>
      <c r="H17" s="31" t="str">
        <f t="shared" si="2"/>
        <v/>
      </c>
      <c r="I17" s="32" t="str">
        <f t="shared" si="3"/>
        <v/>
      </c>
    </row>
    <row r="18" spans="1:25" ht="13.5" thickBot="1" x14ac:dyDescent="0.25">
      <c r="A18" s="43">
        <f>IF(Applicants!B20="","",Applicants!B20)</f>
        <v>12</v>
      </c>
      <c r="B18" s="44" t="str">
        <f>IF(Applicants!C20="","",Applicants!C20)</f>
        <v/>
      </c>
      <c r="C18" s="45" t="str">
        <f>IF(Applicants!D20="","",Applicants!D20)</f>
        <v/>
      </c>
      <c r="D18" s="46" t="str">
        <f t="shared" si="4"/>
        <v/>
      </c>
      <c r="E18" s="46" t="str">
        <f t="shared" si="5"/>
        <v/>
      </c>
      <c r="F18" s="46" t="str">
        <f t="shared" si="0"/>
        <v/>
      </c>
      <c r="G18" s="47" t="str">
        <f t="shared" si="1"/>
        <v/>
      </c>
      <c r="H18" s="46" t="str">
        <f t="shared" si="2"/>
        <v/>
      </c>
      <c r="I18" s="48" t="str">
        <f t="shared" si="3"/>
        <v/>
      </c>
    </row>
    <row r="19" spans="1:25" ht="13.5" thickTop="1" x14ac:dyDescent="0.2"/>
    <row r="20" spans="1:25" x14ac:dyDescent="0.2">
      <c r="E20" s="49"/>
      <c r="P20" s="50"/>
    </row>
    <row r="21" spans="1:25" ht="13.5" thickBot="1" x14ac:dyDescent="0.25">
      <c r="A21" s="2" t="s">
        <v>19</v>
      </c>
      <c r="N21" s="5"/>
      <c r="R21" s="6"/>
      <c r="S21" s="42"/>
      <c r="T21" s="42"/>
      <c r="U21" s="42"/>
      <c r="V21" s="42"/>
      <c r="W21" s="42"/>
      <c r="X21" s="42"/>
    </row>
    <row r="22" spans="1:25" ht="39" thickTop="1" x14ac:dyDescent="0.2">
      <c r="A22" s="51" t="s">
        <v>15</v>
      </c>
      <c r="B22" s="52" t="s">
        <v>16</v>
      </c>
      <c r="C22" s="52" t="s">
        <v>17</v>
      </c>
      <c r="D22" s="52" t="s">
        <v>20</v>
      </c>
      <c r="E22" s="52" t="s">
        <v>21</v>
      </c>
      <c r="F22" s="52" t="s">
        <v>22</v>
      </c>
      <c r="G22" s="52" t="s">
        <v>23</v>
      </c>
      <c r="H22" s="52" t="s">
        <v>24</v>
      </c>
      <c r="I22" s="52" t="s">
        <v>25</v>
      </c>
      <c r="J22" s="52" t="s">
        <v>26</v>
      </c>
      <c r="K22" s="52" t="s">
        <v>0</v>
      </c>
      <c r="L22" s="52" t="s">
        <v>27</v>
      </c>
      <c r="M22" s="52" t="s">
        <v>28</v>
      </c>
      <c r="N22" s="52" t="s">
        <v>29</v>
      </c>
      <c r="O22" s="53" t="s">
        <v>30</v>
      </c>
      <c r="P22" s="54" t="s">
        <v>31</v>
      </c>
      <c r="Q22" s="55" t="s">
        <v>32</v>
      </c>
      <c r="R22" s="56" t="s">
        <v>33</v>
      </c>
      <c r="S22" s="6" t="s">
        <v>34</v>
      </c>
      <c r="T22" s="42"/>
      <c r="U22" s="42"/>
      <c r="V22" s="42"/>
      <c r="W22" s="42"/>
      <c r="X22" s="42" t="s">
        <v>35</v>
      </c>
      <c r="Y22" s="42" t="s">
        <v>36</v>
      </c>
    </row>
    <row r="23" spans="1:25" x14ac:dyDescent="0.2">
      <c r="A23" s="33">
        <f>IF(Applicants!B9="","",Applicants!B9)</f>
        <v>1</v>
      </c>
      <c r="B23" s="57" t="str">
        <f>IF(Applicants!C9="","",Applicants!C9)</f>
        <v/>
      </c>
      <c r="C23" s="35" t="str">
        <f>IF(Applicants!D9="","",Applicants!D9)</f>
        <v/>
      </c>
      <c r="D23" s="58" t="str">
        <f t="shared" ref="D23:D34" si="6">IF(C23="","",_xlfn.IFNA(INDEX(D$55:D$79,MATCH($A23,$B$55:$B$79,0)),0))</f>
        <v/>
      </c>
      <c r="E23" s="58" t="str">
        <f t="shared" ref="E23:F34" si="7">_xlfn.IFNA(INDEX(E$55:E$79,MATCH($A23,$B$55:$B$79,0)),"")</f>
        <v/>
      </c>
      <c r="F23" s="58" t="str">
        <f t="shared" si="7"/>
        <v/>
      </c>
      <c r="G23" s="58" t="str">
        <f t="shared" ref="G23:G26" si="8">IF(C23="","",D23+E23-F23)</f>
        <v/>
      </c>
      <c r="H23" s="58" t="str">
        <f t="shared" ref="H23:I34" si="9">_xlfn.IFNA(INDEX(H$55:H$79,MATCH($A23,$B$55:$B$79,0)),"")</f>
        <v/>
      </c>
      <c r="I23" s="58" t="str">
        <f t="shared" si="9"/>
        <v/>
      </c>
      <c r="J23" s="59" t="str">
        <f t="shared" ref="J23:J25" si="10">IFERROR(G23+H23+I23,"")</f>
        <v/>
      </c>
      <c r="K23" s="58" t="str">
        <f>IFERROR(_xlfn.IFNA(INDEX(K$55:K$79,MATCH($A23,$B$55:$B$79,0)),"")+_xlfn.IFNA(INDEX(L$55:L$79,MATCH($A23,$B$55:$B$79,0)),""),"")</f>
        <v/>
      </c>
      <c r="L23" s="58" t="str">
        <f t="shared" ref="L23:L34" si="11">_xlfn.IFNA(INDEX($M$55:$M$79,MATCH(A23,$B$55:$B$79,0)),"")</f>
        <v/>
      </c>
      <c r="M23" s="58" t="str">
        <f t="shared" ref="M23:N34" si="12">_xlfn.IFNA(INDEX(N$55:N$79,MATCH($A23,$B$55:$B$79,0)),"")</f>
        <v/>
      </c>
      <c r="N23" s="58" t="str">
        <f t="shared" si="12"/>
        <v/>
      </c>
      <c r="O23" s="60" t="str">
        <f t="shared" ref="O23:O34" si="13">_xlfn.IFNA(INDEX(Q$55:Q$79,MATCH($A23,$B$55:$B$79,0)),"")</f>
        <v/>
      </c>
      <c r="P23" s="61" t="str">
        <f>_xlfn.IFNA(INDEX(P$55:P$79,MATCH($A23,$B$55:$B$79,0)),"")</f>
        <v/>
      </c>
      <c r="Q23" s="62" t="str">
        <f>IF(C23="","",SUM(G23:I23)-K23-SUM(M23:P23))</f>
        <v/>
      </c>
      <c r="R23" s="63" t="str">
        <f t="shared" ref="R23:R34" si="14">_xlfn.IFNA(INDEX(AT$55:AT$79,MATCH($A23,$B$55:$B$79,0)),"")</f>
        <v/>
      </c>
      <c r="S23" s="64" t="str">
        <f>IFERROR(_xlfn.IFNA(INDEX(W$55:W$79,MATCH($A23,$B$55:$B$79,0)),""),0)</f>
        <v/>
      </c>
      <c r="T23" s="42"/>
      <c r="U23" s="42"/>
      <c r="V23" s="42"/>
      <c r="W23" s="42"/>
      <c r="X23" s="65" t="str">
        <f t="shared" ref="X23:X34" si="15">_xlfn.IFNA(INDEX(U$55:U$79,MATCH($A23,$B$55:$B$79,0)),"")</f>
        <v/>
      </c>
      <c r="Y23" s="65">
        <f t="shared" ref="Y23:Y34" si="16">_xlfn.IFNA(INDEX($V$55:$V$79,MATCH(A23,$B$55:$B$79,0)),0)</f>
        <v>0</v>
      </c>
    </row>
    <row r="24" spans="1:25" x14ac:dyDescent="0.2">
      <c r="A24" s="33">
        <f>IF(Applicants!B10="","",Applicants!B10)</f>
        <v>2</v>
      </c>
      <c r="B24" s="57" t="str">
        <f>IF(Applicants!C10="","",Applicants!C10)</f>
        <v/>
      </c>
      <c r="C24" s="35" t="str">
        <f>IF(Applicants!D10="","",Applicants!D10)</f>
        <v/>
      </c>
      <c r="D24" s="58" t="str">
        <f t="shared" si="6"/>
        <v/>
      </c>
      <c r="E24" s="58" t="str">
        <f t="shared" si="7"/>
        <v/>
      </c>
      <c r="F24" s="58" t="str">
        <f t="shared" si="7"/>
        <v/>
      </c>
      <c r="G24" s="58" t="str">
        <f t="shared" si="8"/>
        <v/>
      </c>
      <c r="H24" s="58" t="str">
        <f t="shared" si="9"/>
        <v/>
      </c>
      <c r="I24" s="58" t="str">
        <f t="shared" si="9"/>
        <v/>
      </c>
      <c r="J24" s="59" t="str">
        <f t="shared" si="10"/>
        <v/>
      </c>
      <c r="K24" s="58" t="str">
        <f>IFERROR(_xlfn.IFNA(INDEX(K$55:K$79,MATCH($A24,$B$55:$B$79,0)),"")+_xlfn.IFNA(INDEX(L$55:L$79,MATCH($A24,$B$55:$B$79,0)),""),"")</f>
        <v/>
      </c>
      <c r="L24" s="58" t="str">
        <f t="shared" si="11"/>
        <v/>
      </c>
      <c r="M24" s="58" t="str">
        <f t="shared" si="12"/>
        <v/>
      </c>
      <c r="N24" s="58" t="str">
        <f t="shared" si="12"/>
        <v/>
      </c>
      <c r="O24" s="60" t="str">
        <f t="shared" si="13"/>
        <v/>
      </c>
      <c r="P24" s="58" t="str">
        <f t="shared" ref="P24:P34" si="17">_xlfn.IFNA(INDEX(P$55:P$79,MATCH($A24,$B$55:$B$79,0)),"")</f>
        <v/>
      </c>
      <c r="Q24" s="62" t="str">
        <f t="shared" ref="Q24:Q34" si="18">IF(C24="","",SUM(G24:I24)-K24-SUM(M24:P24))</f>
        <v/>
      </c>
      <c r="R24" s="66" t="str">
        <f t="shared" si="14"/>
        <v/>
      </c>
      <c r="S24" s="64" t="str">
        <f t="shared" ref="S24:S34" si="19">IFERROR(_xlfn.IFNA(INDEX(W$55:W$79,MATCH($A24,$B$55:$B$79,0)),""),0)</f>
        <v/>
      </c>
      <c r="T24" s="42"/>
      <c r="U24" s="42"/>
      <c r="V24" s="42"/>
      <c r="W24" s="42"/>
      <c r="X24" s="65" t="str">
        <f t="shared" si="15"/>
        <v/>
      </c>
      <c r="Y24" s="65">
        <f t="shared" si="16"/>
        <v>0</v>
      </c>
    </row>
    <row r="25" spans="1:25" x14ac:dyDescent="0.2">
      <c r="A25" s="33">
        <f>IF(Applicants!B11="","",Applicants!B11)</f>
        <v>3</v>
      </c>
      <c r="B25" s="57" t="str">
        <f>IF(Applicants!C11="","",Applicants!C11)</f>
        <v/>
      </c>
      <c r="C25" s="35" t="str">
        <f>IF(Applicants!D11="","",Applicants!D11)</f>
        <v/>
      </c>
      <c r="D25" s="58" t="str">
        <f t="shared" si="6"/>
        <v/>
      </c>
      <c r="E25" s="58" t="str">
        <f t="shared" si="7"/>
        <v/>
      </c>
      <c r="F25" s="58" t="str">
        <f t="shared" si="7"/>
        <v/>
      </c>
      <c r="G25" s="58" t="str">
        <f t="shared" si="8"/>
        <v/>
      </c>
      <c r="H25" s="58" t="str">
        <f t="shared" si="9"/>
        <v/>
      </c>
      <c r="I25" s="58" t="str">
        <f t="shared" si="9"/>
        <v/>
      </c>
      <c r="J25" s="59" t="str">
        <f t="shared" si="10"/>
        <v/>
      </c>
      <c r="K25" s="58" t="str">
        <f t="shared" ref="K25:K34" si="20">IFERROR(_xlfn.IFNA(INDEX(K$55:K$79,MATCH($A25,$B$55:$B$79,0)),"")+_xlfn.IFNA(INDEX(L$55:L$79,MATCH($A25,$B$55:$B$79,0)),""),"")</f>
        <v/>
      </c>
      <c r="L25" s="58" t="str">
        <f t="shared" si="11"/>
        <v/>
      </c>
      <c r="M25" s="58" t="str">
        <f t="shared" si="12"/>
        <v/>
      </c>
      <c r="N25" s="58" t="str">
        <f t="shared" si="12"/>
        <v/>
      </c>
      <c r="O25" s="60" t="str">
        <f t="shared" si="13"/>
        <v/>
      </c>
      <c r="P25" s="58" t="str">
        <f>_xlfn.IFNA(INDEX(P$55:P$79,MATCH($A25,$B$55:$B$79,0)),"")</f>
        <v/>
      </c>
      <c r="Q25" s="62" t="str">
        <f t="shared" si="18"/>
        <v/>
      </c>
      <c r="R25" s="66" t="str">
        <f t="shared" si="14"/>
        <v/>
      </c>
      <c r="S25" s="64" t="str">
        <f t="shared" si="19"/>
        <v/>
      </c>
      <c r="T25" s="42"/>
      <c r="U25" s="42"/>
      <c r="V25" s="42"/>
      <c r="W25" s="42"/>
      <c r="X25" s="65" t="str">
        <f t="shared" si="15"/>
        <v/>
      </c>
      <c r="Y25" s="65">
        <f t="shared" si="16"/>
        <v>0</v>
      </c>
    </row>
    <row r="26" spans="1:25" x14ac:dyDescent="0.2">
      <c r="A26" s="33">
        <f>IF(Applicants!B12="","",Applicants!B12)</f>
        <v>4</v>
      </c>
      <c r="B26" s="57" t="str">
        <f>IF(Applicants!C12="","",Applicants!C12)</f>
        <v/>
      </c>
      <c r="C26" s="35" t="str">
        <f>IF(Applicants!D12="","",Applicants!D12)</f>
        <v/>
      </c>
      <c r="D26" s="58" t="str">
        <f t="shared" si="6"/>
        <v/>
      </c>
      <c r="E26" s="58" t="str">
        <f t="shared" si="7"/>
        <v/>
      </c>
      <c r="F26" s="58" t="str">
        <f t="shared" si="7"/>
        <v/>
      </c>
      <c r="G26" s="58" t="str">
        <f t="shared" si="8"/>
        <v/>
      </c>
      <c r="H26" s="58" t="str">
        <f t="shared" si="9"/>
        <v/>
      </c>
      <c r="I26" s="58" t="str">
        <f t="shared" si="9"/>
        <v/>
      </c>
      <c r="J26" s="59" t="str">
        <f>IFERROR(G26+H26+I26,"")</f>
        <v/>
      </c>
      <c r="K26" s="58" t="str">
        <f t="shared" si="20"/>
        <v/>
      </c>
      <c r="L26" s="58" t="str">
        <f t="shared" si="11"/>
        <v/>
      </c>
      <c r="M26" s="58" t="str">
        <f t="shared" si="12"/>
        <v/>
      </c>
      <c r="N26" s="58" t="str">
        <f t="shared" si="12"/>
        <v/>
      </c>
      <c r="O26" s="60" t="str">
        <f t="shared" si="13"/>
        <v/>
      </c>
      <c r="P26" s="58" t="str">
        <f t="shared" si="17"/>
        <v/>
      </c>
      <c r="Q26" s="62" t="str">
        <f t="shared" si="18"/>
        <v/>
      </c>
      <c r="R26" s="66" t="str">
        <f t="shared" si="14"/>
        <v/>
      </c>
      <c r="S26" s="64" t="str">
        <f t="shared" si="19"/>
        <v/>
      </c>
      <c r="T26" s="42"/>
      <c r="U26" s="42"/>
      <c r="V26" s="42"/>
      <c r="W26" s="42"/>
      <c r="X26" s="65" t="str">
        <f t="shared" si="15"/>
        <v/>
      </c>
      <c r="Y26" s="65">
        <f t="shared" si="16"/>
        <v>0</v>
      </c>
    </row>
    <row r="27" spans="1:25" x14ac:dyDescent="0.2">
      <c r="A27" s="33">
        <f>IF(Applicants!B13="","",Applicants!B13)</f>
        <v>5</v>
      </c>
      <c r="B27" s="57" t="str">
        <f>IF(Applicants!C13="","",Applicants!C13)</f>
        <v/>
      </c>
      <c r="C27" s="35" t="str">
        <f>IF(Applicants!D13="","",Applicants!D13)</f>
        <v/>
      </c>
      <c r="D27" s="58" t="str">
        <f t="shared" si="6"/>
        <v/>
      </c>
      <c r="E27" s="58" t="str">
        <f t="shared" si="7"/>
        <v/>
      </c>
      <c r="F27" s="58" t="str">
        <f t="shared" si="7"/>
        <v/>
      </c>
      <c r="G27" s="58" t="str">
        <f>IF(C27="","",D27+E27-F27)</f>
        <v/>
      </c>
      <c r="H27" s="58" t="str">
        <f t="shared" si="9"/>
        <v/>
      </c>
      <c r="I27" s="58" t="str">
        <f t="shared" si="9"/>
        <v/>
      </c>
      <c r="J27" s="59" t="str">
        <f>IFERROR(G27+H27+I27,"")</f>
        <v/>
      </c>
      <c r="K27" s="58" t="str">
        <f t="shared" si="20"/>
        <v/>
      </c>
      <c r="L27" s="58" t="str">
        <f t="shared" si="11"/>
        <v/>
      </c>
      <c r="M27" s="58" t="str">
        <f t="shared" si="12"/>
        <v/>
      </c>
      <c r="N27" s="58" t="str">
        <f t="shared" si="12"/>
        <v/>
      </c>
      <c r="O27" s="60" t="str">
        <f t="shared" si="13"/>
        <v/>
      </c>
      <c r="P27" s="58" t="str">
        <f t="shared" si="17"/>
        <v/>
      </c>
      <c r="Q27" s="62" t="str">
        <f t="shared" si="18"/>
        <v/>
      </c>
      <c r="R27" s="66" t="str">
        <f t="shared" si="14"/>
        <v/>
      </c>
      <c r="S27" s="64" t="str">
        <f t="shared" si="19"/>
        <v/>
      </c>
      <c r="T27" s="42"/>
      <c r="U27" s="42"/>
      <c r="V27" s="42"/>
      <c r="W27" s="42"/>
      <c r="X27" s="65" t="str">
        <f t="shared" si="15"/>
        <v/>
      </c>
      <c r="Y27" s="65">
        <f t="shared" si="16"/>
        <v>0</v>
      </c>
    </row>
    <row r="28" spans="1:25" x14ac:dyDescent="0.2">
      <c r="A28" s="33">
        <f>IF(Applicants!B14="","",Applicants!B14)</f>
        <v>6</v>
      </c>
      <c r="B28" s="57" t="str">
        <f>IF(Applicants!C14="","",Applicants!C14)</f>
        <v/>
      </c>
      <c r="C28" s="35" t="str">
        <f>IF(Applicants!D14="","",Applicants!D14)</f>
        <v/>
      </c>
      <c r="D28" s="58" t="str">
        <f t="shared" si="6"/>
        <v/>
      </c>
      <c r="E28" s="58" t="str">
        <f t="shared" si="7"/>
        <v/>
      </c>
      <c r="F28" s="58" t="str">
        <f t="shared" si="7"/>
        <v/>
      </c>
      <c r="G28" s="58" t="str">
        <f t="shared" ref="G28:G34" si="21">IF(C28="","",D28+E28-F28)</f>
        <v/>
      </c>
      <c r="H28" s="58" t="str">
        <f t="shared" si="9"/>
        <v/>
      </c>
      <c r="I28" s="58" t="str">
        <f t="shared" si="9"/>
        <v/>
      </c>
      <c r="J28" s="59" t="str">
        <f t="shared" ref="J28:J34" si="22">IFERROR(G28+H28+I28,"")</f>
        <v/>
      </c>
      <c r="K28" s="58" t="str">
        <f t="shared" si="20"/>
        <v/>
      </c>
      <c r="L28" s="58" t="str">
        <f t="shared" si="11"/>
        <v/>
      </c>
      <c r="M28" s="58" t="str">
        <f t="shared" si="12"/>
        <v/>
      </c>
      <c r="N28" s="58" t="str">
        <f t="shared" si="12"/>
        <v/>
      </c>
      <c r="O28" s="60" t="str">
        <f t="shared" si="13"/>
        <v/>
      </c>
      <c r="P28" s="58" t="str">
        <f t="shared" si="17"/>
        <v/>
      </c>
      <c r="Q28" s="62" t="str">
        <f t="shared" si="18"/>
        <v/>
      </c>
      <c r="R28" s="66" t="str">
        <f t="shared" si="14"/>
        <v/>
      </c>
      <c r="S28" s="64" t="str">
        <f t="shared" si="19"/>
        <v/>
      </c>
      <c r="T28" s="42"/>
      <c r="U28" s="42"/>
      <c r="V28" s="42"/>
      <c r="W28" s="42"/>
      <c r="X28" s="65" t="str">
        <f t="shared" si="15"/>
        <v/>
      </c>
      <c r="Y28" s="65">
        <f t="shared" si="16"/>
        <v>0</v>
      </c>
    </row>
    <row r="29" spans="1:25" x14ac:dyDescent="0.2">
      <c r="A29" s="33">
        <f>IF(Applicants!B15="","",Applicants!B15)</f>
        <v>7</v>
      </c>
      <c r="B29" s="57" t="str">
        <f>IF(Applicants!C15="","",Applicants!C15)</f>
        <v/>
      </c>
      <c r="C29" s="35" t="str">
        <f>IF(Applicants!D15="","",Applicants!D15)</f>
        <v/>
      </c>
      <c r="D29" s="58" t="str">
        <f t="shared" si="6"/>
        <v/>
      </c>
      <c r="E29" s="58" t="str">
        <f t="shared" si="7"/>
        <v/>
      </c>
      <c r="F29" s="58" t="str">
        <f t="shared" si="7"/>
        <v/>
      </c>
      <c r="G29" s="58" t="str">
        <f t="shared" si="21"/>
        <v/>
      </c>
      <c r="H29" s="58" t="str">
        <f t="shared" si="9"/>
        <v/>
      </c>
      <c r="I29" s="58" t="str">
        <f t="shared" si="9"/>
        <v/>
      </c>
      <c r="J29" s="59" t="str">
        <f t="shared" si="22"/>
        <v/>
      </c>
      <c r="K29" s="58" t="str">
        <f t="shared" si="20"/>
        <v/>
      </c>
      <c r="L29" s="58" t="str">
        <f t="shared" si="11"/>
        <v/>
      </c>
      <c r="M29" s="58" t="str">
        <f t="shared" si="12"/>
        <v/>
      </c>
      <c r="N29" s="58" t="str">
        <f t="shared" si="12"/>
        <v/>
      </c>
      <c r="O29" s="60" t="str">
        <f t="shared" si="13"/>
        <v/>
      </c>
      <c r="P29" s="58" t="str">
        <f t="shared" si="17"/>
        <v/>
      </c>
      <c r="Q29" s="62" t="str">
        <f t="shared" si="18"/>
        <v/>
      </c>
      <c r="R29" s="66" t="str">
        <f t="shared" si="14"/>
        <v/>
      </c>
      <c r="S29" s="64" t="str">
        <f t="shared" si="19"/>
        <v/>
      </c>
      <c r="T29" s="42"/>
      <c r="U29" s="42"/>
      <c r="V29" s="42"/>
      <c r="W29" s="42"/>
      <c r="X29" s="65" t="str">
        <f t="shared" si="15"/>
        <v/>
      </c>
      <c r="Y29" s="65">
        <f t="shared" si="16"/>
        <v>0</v>
      </c>
    </row>
    <row r="30" spans="1:25" x14ac:dyDescent="0.2">
      <c r="A30" s="33">
        <f>IF(Applicants!B16="","",Applicants!B16)</f>
        <v>8</v>
      </c>
      <c r="B30" s="57" t="str">
        <f>IF(Applicants!C16="","",Applicants!C16)</f>
        <v/>
      </c>
      <c r="C30" s="35" t="str">
        <f>IF(Applicants!D16="","",Applicants!D16)</f>
        <v/>
      </c>
      <c r="D30" s="58" t="str">
        <f t="shared" si="6"/>
        <v/>
      </c>
      <c r="E30" s="58" t="str">
        <f t="shared" si="7"/>
        <v/>
      </c>
      <c r="F30" s="67" t="str">
        <f t="shared" si="7"/>
        <v/>
      </c>
      <c r="G30" s="58" t="str">
        <f t="shared" si="21"/>
        <v/>
      </c>
      <c r="H30" s="58" t="str">
        <f t="shared" si="9"/>
        <v/>
      </c>
      <c r="I30" s="58" t="str">
        <f t="shared" si="9"/>
        <v/>
      </c>
      <c r="J30" s="59" t="str">
        <f t="shared" si="22"/>
        <v/>
      </c>
      <c r="K30" s="58" t="str">
        <f t="shared" si="20"/>
        <v/>
      </c>
      <c r="L30" s="58" t="str">
        <f t="shared" si="11"/>
        <v/>
      </c>
      <c r="M30" s="58" t="str">
        <f t="shared" si="12"/>
        <v/>
      </c>
      <c r="N30" s="58" t="str">
        <f t="shared" si="12"/>
        <v/>
      </c>
      <c r="O30" s="60" t="str">
        <f t="shared" si="13"/>
        <v/>
      </c>
      <c r="P30" s="58" t="str">
        <f t="shared" si="17"/>
        <v/>
      </c>
      <c r="Q30" s="62" t="str">
        <f t="shared" si="18"/>
        <v/>
      </c>
      <c r="R30" s="66" t="str">
        <f t="shared" si="14"/>
        <v/>
      </c>
      <c r="S30" s="64" t="str">
        <f t="shared" si="19"/>
        <v/>
      </c>
      <c r="T30" s="42"/>
      <c r="U30" s="42"/>
      <c r="V30" s="42"/>
      <c r="W30" s="42"/>
      <c r="X30" s="65" t="str">
        <f t="shared" si="15"/>
        <v/>
      </c>
      <c r="Y30" s="65">
        <f t="shared" si="16"/>
        <v>0</v>
      </c>
    </row>
    <row r="31" spans="1:25" x14ac:dyDescent="0.2">
      <c r="A31" s="33">
        <f>IF(Applicants!B17="","",Applicants!B17)</f>
        <v>9</v>
      </c>
      <c r="B31" s="57" t="str">
        <f>IF(Applicants!C17="","",Applicants!C17)</f>
        <v/>
      </c>
      <c r="C31" s="35" t="str">
        <f>IF(Applicants!D17="","",Applicants!D17)</f>
        <v/>
      </c>
      <c r="D31" s="58" t="str">
        <f t="shared" si="6"/>
        <v/>
      </c>
      <c r="E31" s="58" t="str">
        <f t="shared" si="7"/>
        <v/>
      </c>
      <c r="F31" s="58" t="str">
        <f t="shared" si="7"/>
        <v/>
      </c>
      <c r="G31" s="58" t="str">
        <f t="shared" si="21"/>
        <v/>
      </c>
      <c r="H31" s="58" t="str">
        <f t="shared" si="9"/>
        <v/>
      </c>
      <c r="I31" s="58" t="str">
        <f t="shared" si="9"/>
        <v/>
      </c>
      <c r="J31" s="59" t="str">
        <f t="shared" si="22"/>
        <v/>
      </c>
      <c r="K31" s="58" t="str">
        <f t="shared" si="20"/>
        <v/>
      </c>
      <c r="L31" s="58" t="str">
        <f t="shared" si="11"/>
        <v/>
      </c>
      <c r="M31" s="58" t="str">
        <f t="shared" si="12"/>
        <v/>
      </c>
      <c r="N31" s="58" t="str">
        <f t="shared" si="12"/>
        <v/>
      </c>
      <c r="O31" s="60" t="str">
        <f t="shared" si="13"/>
        <v/>
      </c>
      <c r="P31" s="58" t="str">
        <f t="shared" si="17"/>
        <v/>
      </c>
      <c r="Q31" s="62" t="str">
        <f t="shared" si="18"/>
        <v/>
      </c>
      <c r="R31" s="66" t="str">
        <f t="shared" si="14"/>
        <v/>
      </c>
      <c r="S31" s="64" t="str">
        <f t="shared" si="19"/>
        <v/>
      </c>
      <c r="T31" s="42"/>
      <c r="U31" s="42"/>
      <c r="V31" s="42"/>
      <c r="W31" s="42"/>
      <c r="X31" s="65" t="str">
        <f t="shared" si="15"/>
        <v/>
      </c>
      <c r="Y31" s="65">
        <f t="shared" si="16"/>
        <v>0</v>
      </c>
    </row>
    <row r="32" spans="1:25" x14ac:dyDescent="0.2">
      <c r="A32" s="33">
        <f>IF(Applicants!B18="","",Applicants!B18)</f>
        <v>10</v>
      </c>
      <c r="B32" s="57" t="str">
        <f>IF(Applicants!C18="","",Applicants!C18)</f>
        <v/>
      </c>
      <c r="C32" s="35" t="str">
        <f>IF(Applicants!D18="","",Applicants!D18)</f>
        <v/>
      </c>
      <c r="D32" s="58" t="str">
        <f t="shared" si="6"/>
        <v/>
      </c>
      <c r="E32" s="58" t="str">
        <f t="shared" si="7"/>
        <v/>
      </c>
      <c r="F32" s="58" t="str">
        <f t="shared" si="7"/>
        <v/>
      </c>
      <c r="G32" s="58" t="str">
        <f t="shared" si="21"/>
        <v/>
      </c>
      <c r="H32" s="58" t="str">
        <f t="shared" si="9"/>
        <v/>
      </c>
      <c r="I32" s="58" t="str">
        <f t="shared" si="9"/>
        <v/>
      </c>
      <c r="J32" s="59" t="str">
        <f t="shared" si="22"/>
        <v/>
      </c>
      <c r="K32" s="58" t="str">
        <f t="shared" si="20"/>
        <v/>
      </c>
      <c r="L32" s="58" t="str">
        <f t="shared" si="11"/>
        <v/>
      </c>
      <c r="M32" s="58" t="str">
        <f t="shared" si="12"/>
        <v/>
      </c>
      <c r="N32" s="58" t="str">
        <f t="shared" si="12"/>
        <v/>
      </c>
      <c r="O32" s="60" t="str">
        <f t="shared" si="13"/>
        <v/>
      </c>
      <c r="P32" s="58" t="str">
        <f t="shared" si="17"/>
        <v/>
      </c>
      <c r="Q32" s="62" t="str">
        <f t="shared" si="18"/>
        <v/>
      </c>
      <c r="R32" s="66" t="str">
        <f t="shared" si="14"/>
        <v/>
      </c>
      <c r="S32" s="64" t="str">
        <f t="shared" si="19"/>
        <v/>
      </c>
      <c r="T32" s="42"/>
      <c r="U32" s="42"/>
      <c r="V32" s="42"/>
      <c r="W32" s="42"/>
      <c r="X32" s="65" t="str">
        <f t="shared" si="15"/>
        <v/>
      </c>
      <c r="Y32" s="65">
        <f t="shared" si="16"/>
        <v>0</v>
      </c>
    </row>
    <row r="33" spans="1:25" x14ac:dyDescent="0.2">
      <c r="A33" s="33">
        <f>IF(Applicants!B19="","",Applicants!B19)</f>
        <v>11</v>
      </c>
      <c r="B33" s="57" t="str">
        <f>IF(Applicants!C19="","",Applicants!C19)</f>
        <v/>
      </c>
      <c r="C33" s="35" t="str">
        <f>IF(Applicants!D19="","",Applicants!D19)</f>
        <v/>
      </c>
      <c r="D33" s="58" t="str">
        <f t="shared" si="6"/>
        <v/>
      </c>
      <c r="E33" s="58" t="str">
        <f t="shared" si="7"/>
        <v/>
      </c>
      <c r="F33" s="58" t="str">
        <f t="shared" si="7"/>
        <v/>
      </c>
      <c r="G33" s="58" t="str">
        <f t="shared" si="21"/>
        <v/>
      </c>
      <c r="H33" s="58" t="str">
        <f t="shared" si="9"/>
        <v/>
      </c>
      <c r="I33" s="58" t="str">
        <f t="shared" si="9"/>
        <v/>
      </c>
      <c r="J33" s="59" t="str">
        <f t="shared" si="22"/>
        <v/>
      </c>
      <c r="K33" s="58" t="str">
        <f t="shared" si="20"/>
        <v/>
      </c>
      <c r="L33" s="58" t="str">
        <f t="shared" si="11"/>
        <v/>
      </c>
      <c r="M33" s="58" t="str">
        <f t="shared" si="12"/>
        <v/>
      </c>
      <c r="N33" s="58" t="str">
        <f t="shared" si="12"/>
        <v/>
      </c>
      <c r="O33" s="60" t="str">
        <f t="shared" si="13"/>
        <v/>
      </c>
      <c r="P33" s="58" t="str">
        <f t="shared" si="17"/>
        <v/>
      </c>
      <c r="Q33" s="62" t="str">
        <f t="shared" si="18"/>
        <v/>
      </c>
      <c r="R33" s="66" t="str">
        <f t="shared" si="14"/>
        <v/>
      </c>
      <c r="S33" s="64" t="str">
        <f t="shared" si="19"/>
        <v/>
      </c>
      <c r="T33" s="42"/>
      <c r="U33" s="42"/>
      <c r="V33" s="42"/>
      <c r="W33" s="42"/>
      <c r="X33" s="65" t="str">
        <f t="shared" si="15"/>
        <v/>
      </c>
      <c r="Y33" s="65">
        <f t="shared" si="16"/>
        <v>0</v>
      </c>
    </row>
    <row r="34" spans="1:25" ht="13.5" thickBot="1" x14ac:dyDescent="0.25">
      <c r="A34" s="43">
        <f>IF(Applicants!B20="","",Applicants!B20)</f>
        <v>12</v>
      </c>
      <c r="B34" s="68" t="str">
        <f>IF(Applicants!C20="","",Applicants!C20)</f>
        <v/>
      </c>
      <c r="C34" s="45" t="str">
        <f>IF(Applicants!D20="","",Applicants!D20)</f>
        <v/>
      </c>
      <c r="D34" s="58" t="str">
        <f t="shared" si="6"/>
        <v/>
      </c>
      <c r="E34" s="69" t="str">
        <f t="shared" si="7"/>
        <v/>
      </c>
      <c r="F34" s="69" t="str">
        <f t="shared" si="7"/>
        <v/>
      </c>
      <c r="G34" s="58" t="str">
        <f t="shared" si="21"/>
        <v/>
      </c>
      <c r="H34" s="69" t="str">
        <f t="shared" si="9"/>
        <v/>
      </c>
      <c r="I34" s="69" t="str">
        <f t="shared" si="9"/>
        <v/>
      </c>
      <c r="J34" s="59" t="str">
        <f t="shared" si="22"/>
        <v/>
      </c>
      <c r="K34" s="69" t="str">
        <f t="shared" si="20"/>
        <v/>
      </c>
      <c r="L34" s="69" t="str">
        <f t="shared" si="11"/>
        <v/>
      </c>
      <c r="M34" s="69" t="str">
        <f t="shared" si="12"/>
        <v/>
      </c>
      <c r="N34" s="69" t="str">
        <f t="shared" si="12"/>
        <v/>
      </c>
      <c r="O34" s="70" t="str">
        <f t="shared" si="13"/>
        <v/>
      </c>
      <c r="P34" s="69" t="str">
        <f t="shared" si="17"/>
        <v/>
      </c>
      <c r="Q34" s="62" t="str">
        <f t="shared" si="18"/>
        <v/>
      </c>
      <c r="R34" s="71" t="str">
        <f t="shared" si="14"/>
        <v/>
      </c>
      <c r="S34" s="64" t="str">
        <f t="shared" si="19"/>
        <v/>
      </c>
      <c r="T34" s="42"/>
      <c r="U34" s="42"/>
      <c r="V34" s="42"/>
      <c r="W34" s="42"/>
      <c r="X34" s="65" t="str">
        <f t="shared" si="15"/>
        <v/>
      </c>
      <c r="Y34" s="65">
        <f t="shared" si="16"/>
        <v>0</v>
      </c>
    </row>
    <row r="35" spans="1:25" ht="14.25" thickTop="1" thickBot="1" x14ac:dyDescent="0.25">
      <c r="C35" s="72" t="s">
        <v>13</v>
      </c>
      <c r="D35" s="73">
        <f>SUM(D23:D34)</f>
        <v>0</v>
      </c>
      <c r="E35" s="73">
        <f>SUM(E23:E34)</f>
        <v>0</v>
      </c>
      <c r="F35" s="73">
        <f t="shared" ref="F35:N35" si="23">SUM(F23:F34)</f>
        <v>0</v>
      </c>
      <c r="G35" s="73">
        <f t="shared" si="23"/>
        <v>0</v>
      </c>
      <c r="H35" s="73">
        <f t="shared" si="23"/>
        <v>0</v>
      </c>
      <c r="I35" s="73">
        <f t="shared" si="23"/>
        <v>0</v>
      </c>
      <c r="J35" s="74">
        <f t="shared" si="23"/>
        <v>0</v>
      </c>
      <c r="K35" s="73">
        <f t="shared" si="23"/>
        <v>0</v>
      </c>
      <c r="L35" s="73">
        <f t="shared" si="23"/>
        <v>0</v>
      </c>
      <c r="M35" s="73">
        <f t="shared" si="23"/>
        <v>0</v>
      </c>
      <c r="N35" s="73">
        <f t="shared" si="23"/>
        <v>0</v>
      </c>
      <c r="O35" s="73">
        <f>SUM(O23:O34)</f>
        <v>0</v>
      </c>
      <c r="P35" s="73">
        <f>SUM(P23:P34)</f>
        <v>0</v>
      </c>
      <c r="Q35" s="75">
        <f>SUM(Q23:Q34)</f>
        <v>0</v>
      </c>
      <c r="R35" s="76">
        <f>SUM(R23:R34)</f>
        <v>0</v>
      </c>
      <c r="S35" s="64">
        <f>SUM(S23:S34)</f>
        <v>0</v>
      </c>
      <c r="T35" s="42"/>
      <c r="U35" s="42"/>
      <c r="V35" s="42"/>
      <c r="W35" s="42"/>
      <c r="X35" s="77">
        <f>SUM(X23:X34)</f>
        <v>0</v>
      </c>
      <c r="Y35" s="77">
        <f>SUM(Y23:Y34)</f>
        <v>0</v>
      </c>
    </row>
    <row r="36" spans="1:25" ht="13.5" thickTop="1" x14ac:dyDescent="0.2">
      <c r="R36" s="42"/>
      <c r="S36" s="42"/>
      <c r="T36" s="42"/>
      <c r="U36" s="42"/>
      <c r="V36" s="42"/>
      <c r="W36" s="42"/>
      <c r="X36" s="42"/>
    </row>
    <row r="37" spans="1:25" x14ac:dyDescent="0.2">
      <c r="R37" s="42"/>
      <c r="S37" s="42"/>
      <c r="T37" s="42"/>
      <c r="U37" s="42"/>
      <c r="V37" s="42"/>
      <c r="W37" s="42"/>
      <c r="X37" s="42"/>
    </row>
    <row r="38" spans="1:25" x14ac:dyDescent="0.2">
      <c r="R38" s="42"/>
      <c r="S38" s="42"/>
      <c r="T38" s="42"/>
      <c r="U38" s="42"/>
      <c r="V38" s="42"/>
      <c r="W38" s="42"/>
      <c r="X38" s="42"/>
    </row>
    <row r="39" spans="1:25" x14ac:dyDescent="0.2">
      <c r="B39" s="49"/>
    </row>
    <row r="40" spans="1:25" x14ac:dyDescent="0.2">
      <c r="B40" s="78"/>
    </row>
    <row r="41" spans="1:25" hidden="1" x14ac:dyDescent="0.2"/>
    <row r="42" spans="1:25" hidden="1" x14ac:dyDescent="0.2"/>
    <row r="43" spans="1:25" hidden="1" x14ac:dyDescent="0.2"/>
    <row r="44" spans="1:25" hidden="1" x14ac:dyDescent="0.2">
      <c r="O44" s="42"/>
    </row>
    <row r="45" spans="1:25" hidden="1" x14ac:dyDescent="0.2">
      <c r="O45" s="42"/>
    </row>
    <row r="46" spans="1:25" hidden="1" x14ac:dyDescent="0.2">
      <c r="O46" s="42"/>
    </row>
    <row r="47" spans="1:25" hidden="1" x14ac:dyDescent="0.2">
      <c r="O47" s="42"/>
    </row>
    <row r="48" spans="1:25" hidden="1" x14ac:dyDescent="0.2">
      <c r="O48" s="42"/>
      <c r="Q48" s="79"/>
    </row>
    <row r="49" spans="1:46" hidden="1" x14ac:dyDescent="0.2">
      <c r="O49" s="42"/>
      <c r="Q49" s="79"/>
    </row>
    <row r="50" spans="1:46" hidden="1" x14ac:dyDescent="0.2">
      <c r="O50" s="42"/>
    </row>
    <row r="51" spans="1:46" hidden="1" x14ac:dyDescent="0.2">
      <c r="H51" s="49"/>
      <c r="O51" s="80"/>
    </row>
    <row r="52" spans="1:46" hidden="1" x14ac:dyDescent="0.2">
      <c r="D52" s="81"/>
      <c r="E52" s="81"/>
      <c r="F52" s="81"/>
      <c r="G52" s="81"/>
      <c r="H52" s="81"/>
      <c r="I52" s="81"/>
      <c r="J52" s="81"/>
      <c r="O52" s="42"/>
      <c r="AK52" s="3" t="s">
        <v>37</v>
      </c>
    </row>
    <row r="53" spans="1:46" ht="25.5" hidden="1" x14ac:dyDescent="0.2">
      <c r="D53" s="82" t="s">
        <v>20</v>
      </c>
      <c r="E53" s="83" t="s">
        <v>21</v>
      </c>
      <c r="F53" s="83" t="s">
        <v>22</v>
      </c>
      <c r="G53" s="82" t="s">
        <v>23</v>
      </c>
      <c r="H53" s="84" t="s">
        <v>24</v>
      </c>
      <c r="I53" s="83" t="s">
        <v>25</v>
      </c>
      <c r="J53" s="83" t="s">
        <v>26</v>
      </c>
      <c r="K53" s="85" t="s">
        <v>38</v>
      </c>
      <c r="L53" s="85" t="s">
        <v>39</v>
      </c>
      <c r="M53" s="83" t="s">
        <v>27</v>
      </c>
      <c r="N53" s="83" t="s">
        <v>28</v>
      </c>
      <c r="O53" s="86" t="s">
        <v>29</v>
      </c>
      <c r="P53" s="84" t="s">
        <v>31</v>
      </c>
      <c r="Q53" s="82" t="s">
        <v>40</v>
      </c>
      <c r="R53" s="83" t="s">
        <v>32</v>
      </c>
      <c r="T53" s="4" t="s">
        <v>41</v>
      </c>
      <c r="U53" s="3" t="s">
        <v>35</v>
      </c>
      <c r="V53" s="3" t="s">
        <v>36</v>
      </c>
      <c r="W53" s="50" t="s">
        <v>42</v>
      </c>
      <c r="AK53" s="3" t="s">
        <v>43</v>
      </c>
      <c r="AT53" s="87" t="s">
        <v>44</v>
      </c>
    </row>
    <row r="54" spans="1:46" hidden="1" x14ac:dyDescent="0.2">
      <c r="A54" s="3" t="s">
        <v>45</v>
      </c>
      <c r="H54" s="4"/>
      <c r="K54" s="88"/>
      <c r="L54" s="88"/>
      <c r="P54" s="4"/>
      <c r="T54" s="4"/>
      <c r="W54" s="4"/>
      <c r="Y54" s="42" t="s">
        <v>46</v>
      </c>
      <c r="Z54" s="3" t="s">
        <v>47</v>
      </c>
      <c r="AA54" s="3" t="s">
        <v>48</v>
      </c>
      <c r="AD54" s="3" t="s">
        <v>49</v>
      </c>
      <c r="AE54" s="3" t="s">
        <v>50</v>
      </c>
      <c r="AF54" s="3" t="s">
        <v>51</v>
      </c>
      <c r="AG54" s="3" t="s">
        <v>52</v>
      </c>
      <c r="AH54" s="3" t="s">
        <v>53</v>
      </c>
      <c r="AI54" s="3" t="s">
        <v>54</v>
      </c>
      <c r="AK54" s="3">
        <v>1</v>
      </c>
      <c r="AL54" s="3">
        <v>2</v>
      </c>
      <c r="AM54" s="3">
        <v>3</v>
      </c>
      <c r="AN54" s="3">
        <v>4</v>
      </c>
      <c r="AO54" s="3">
        <v>1</v>
      </c>
      <c r="AP54" s="3">
        <v>2</v>
      </c>
      <c r="AQ54" s="3">
        <v>3</v>
      </c>
      <c r="AR54" s="3">
        <v>4</v>
      </c>
    </row>
    <row r="55" spans="1:46" hidden="1" x14ac:dyDescent="0.2">
      <c r="A55" s="3">
        <v>1</v>
      </c>
      <c r="B55" s="3" t="str">
        <f>Applicants!B27</f>
        <v/>
      </c>
      <c r="C55" s="3" t="str">
        <f>Applicants!C27</f>
        <v/>
      </c>
      <c r="D55" s="89">
        <f>'Properties &amp; Ind Income'!L4+'Sole Trader Profit &amp; Loss'!G41</f>
        <v>0</v>
      </c>
      <c r="E55" s="89">
        <f ca="1">IF(Applicants!$J$5="Yes",IF(B55&lt;&gt;"",(SUM($F$69:$F$72)+SUM($F$76:$F$79))/COUNT($B$55:$B$65),0),SUM(AK55:AR55))</f>
        <v>0</v>
      </c>
      <c r="F55" s="90"/>
      <c r="G55" s="91">
        <f ca="1">D55+E55-F55</f>
        <v>0</v>
      </c>
      <c r="H55" s="92">
        <f ca="1">IF(Applicants!$J$5="Yes",IF($B55&lt;&gt;"",SUM('Properties &amp; Ind Income'!$E$3:$E$12)/COUNT($B$55:$B$79),0),SUMPRODUCT(OFFSET('Properties &amp; Ind Income'!$D$17,MATCH($B55,'Properties &amp; Ind Income'!$A$18:$A$29,0),0,1,10),'Properties &amp; Ind Income'!$D$44:$M$44))</f>
        <v>0</v>
      </c>
      <c r="I55" s="89">
        <f>'Properties &amp; Ind Income'!O4+'Properties &amp; Ind Income'!R4</f>
        <v>0</v>
      </c>
      <c r="J55" s="89">
        <f ca="1">G55+H55+I55</f>
        <v>0</v>
      </c>
      <c r="K55" s="93">
        <f ca="1">IF(Applicants!$J$5="Yes",
    IF(Serviceability!B55&lt;&gt;"",
        (SUM(Loans!$B$60:$E$60)+SUM(Loans!$B$100:$U$100))/COUNT(Serviceability!$B$55:$B$79),
        0),
    _xlfn.IFNA(SUMPRODUCT(OFFSET(Loans!$D$11,MATCH($B55,Loans!$A$12:$A$23,0),0,1,4),Loans!$B$60:$E$60,Loans!$B$54:$E$54),0)
    +SUMPRODUCT(OFFSET(Loans!$D$28,MATCH($B55,Loans!$A$29:$A$40,0),0,1,20),Loans!$B$100:$U$100,Loans!$B$67:$U$67))</f>
        <v>0</v>
      </c>
      <c r="L55" s="93" cm="1">
        <f t="array" aca="1" ref="L55" ca="1">IF(Applicants!$J$5="Yes",
    0,
    _xlfn.IFNA(SUMPRODUCT(OFFSET(Loans!$D$11,MATCH($B55,Loans!$A$12:$A$23,0),0,1,4),Loans!$B$50:$E$50,Loans!$B$55:$E$55),0)
    +SUMPRODUCT(OFFSET(Loans!$D$28,MATCH($B55,Loans!$A$29:$A$40,0),0,1,20),Loans!$B$63:$U$63,Loans!$B$68:$U$68)
    +_xlfn.IFNA(SUMPRODUCT(OFFSET(Loans!$D$11,MATCH($B55,Loans!$A$12:$A$23,0),0,1,4),(Loans!$B$50:$E$50-Loans!$B$60:$E$60),Loans!$B$54:$E$54),0)
    +SUMPRODUCT(OFFSET(Loans!$D$28,MATCH($B55,Loans!$A$29:$A$40,0),0,1,20),(Loans!$B$63:$U$63-Loans!$B$100:$U$100),Loans!$B$67:$U$67)
)</f>
        <v>0</v>
      </c>
      <c r="M55" s="89">
        <f ca="1">J55-SUM(K55:L55)</f>
        <v>0</v>
      </c>
      <c r="N55" s="89">
        <f ca="1">IF(Applicants!$J$5="Yes",IF(B55&lt;&gt;"",(SUM(Loans!$B$51:$E$51)+SUM(Loans!$B$64:$U$64))/COUNT($B$55:$B$79),0),_xlfn.IFNA(SUMPRODUCT(OFFSET(Loans!$D$11,MATCH($B55,Loans!$A$12:$A$23,0),0,1,4),Loans!$B$51:$E$51),0)+SUMPRODUCT(OFFSET(Loans!$D$28,MATCH($B55,Loans!$A$29:$A$40,0),0,1,20),Loans!$B$64:$U$64))-L55-K55</f>
        <v>0</v>
      </c>
      <c r="O55" s="89">
        <f ca="1">IF(Applicants!$J$5="Yes",IF(B55&lt;&gt;"",(SUM(Loans!$B$53:$E$53)+SUM(Loans!$B$66:$U$66))/COUNT($B$55:$B$79),0),_xlfn.IFNA(SUMPRODUCT(OFFSET(Loans!$D$11,MATCH($B55,Loans!$A$12:$A$23,0),0,1,4),Loans!$B$53:$E$53),0)+SUMPRODUCT(OFFSET(Loans!$D$28,MATCH($B55,Loans!$A$29:$A$40,0),0,1,20),Loans!$B$66:$U$66))-L55-K55-N55</f>
        <v>0</v>
      </c>
      <c r="P55" s="92">
        <f ca="1">IF(T55&lt;0,0,INDEX(Assumptions!$C$18:$C$23,MATCH(T55,Assumptions!$A$18:$A$23,1))+(T55-INDEX(Assumptions!$A$18:$A$23,MATCH(T55,Assumptions!$A$18:$A$23,1)))*INDEX(Assumptions!$B$18:$B$23,MATCH(T55,Assumptions!$A$18:$A$23,1)+1)+T55*Assumptions!$B$25)</f>
        <v>0</v>
      </c>
      <c r="Q55" s="89">
        <f>_xlfn.IFNA((MAX(INDEX(Assumptions!$B$28:$B$31,MATCH(Z55,Assumptions!$A$28:$A$31,0))*52,INDEX(Applicants!$K$17:$K$20,MATCH(RIGHT(Z55,1)*1,Applicants!$G$17:$G$20,0)))+INDEX(Applicants!$L$17:$L$20,MATCH(RIGHT(Z55,1)*1,Applicants!$G$17:$G$20,0)))*AA55,0)</f>
        <v>0</v>
      </c>
      <c r="R55" s="89">
        <f ca="1">SUM(G55:I55)-SUM(K55:L55)-SUM(N55:Q55)</f>
        <v>0</v>
      </c>
      <c r="T55" s="94">
        <f ca="1">D55+H55-K55-'Sole Trader Profit &amp; Loss'!G35+SUMPRODUCT($T$69:$T$72,OFFSET(Applicants!$B$81,0,$A55,4,1))+SUMPRODUCT($T$76:$T$79,OFFSET(Applicants!$B$88,0,$A55,4,1))</f>
        <v>0</v>
      </c>
      <c r="U55" s="89">
        <f ca="1">IF(Applicants!$J$5="Yes",IF(B55&lt;&gt;"",(SUM(Loans!$B$52:$E$52)+SUM(Loans!$B$65:$U$65))/COUNT($B$55:$B$79),0),_xlfn.IFNA(SUMPRODUCT(OFFSET(Loans!$D$11,MATCH($B55,Loans!$A$12:$A$23,0),0,1,4),Loans!$B$52:$E$52,Loans!$B$54:$E$54),0)+SUMPRODUCT(OFFSET(Loans!$D$28,MATCH($B55,Loans!$A$29:$A$40,0),0,1,20),Loans!$B$65:$U$65,Loans!$B$67:$U$67)+_xlfn.IFNA(SUMPRODUCT(OFFSET(Loans!$D$11,MATCH($B55,Loans!$A$12:$A$23,0),0,1,4),Loans!$B$52:$E$52,Loans!$B$55:$E$55),0)+SUMPRODUCT(OFFSET(Loans!$D$28,MATCH($B55,Loans!$A$29:$A$40,0),0,1,20),Loans!$B$65:$U$65,Loans!$B$68:$U$68))</f>
        <v>0</v>
      </c>
      <c r="V55" s="89">
        <f ca="1">IF(Applicants!$J$5="Yes",IF(B55&lt;&gt;"",(SUM(Loans!$B$49:$E$49)+SUM(Loans!$B$62:$U$62))/COUNT(Serviceability!$B$55:$B$79),0),_xlfn.IFNA(SUMPRODUCT(OFFSET(Loans!$D$11,MATCH($B55,Loans!$A$12:$A$23,0),0,1,4),Loans!$B$49:$E$49),0)+SUMPRODUCT(OFFSET(Loans!$D$28,MATCH($B55,Loans!$A$29:$A$40,0),0,1,20),Loans!$B$62:$U$62))</f>
        <v>0</v>
      </c>
      <c r="W55" s="95">
        <f ca="1">_xlfn.IFNA(SUMPRODUCT(OFFSET(Loans!$D$11,MATCH($B55,Loans!$A$12:$A$23,0),0,1,4),Loans!$B$59:$E$59),0)</f>
        <v>0</v>
      </c>
      <c r="Y55" s="96">
        <f ca="1">G55+H55+I55+SUMPRODUCT($G$62:$G$65,OFFSET(Applicants!$B$74,0,$A55,4,1))+SUMPRODUCT($H$62:$H$65,OFFSET(Applicants!$B$74,0,$A55,4,1))-_xlfn.IFNA(SUMPRODUCT(OFFSET(Loans!$D$11,MATCH($B55,Loans!$A$12:$A$23,0),0,1,4),Loans!$B$58:$E$58),0)-SUMPRODUCT(OFFSET(Loans!$D$28,MATCH($B55,Loans!$A$29:$A$40,0),0,1,20),Loans!$B$71:$U$71)-SUMPRODUCT(OFFSET(Loans!$D$28,MATCH($B55,Loans!$A$29:$A$40,0),0,1,20),Loans!$B$70:$U$70)</f>
        <v>0</v>
      </c>
      <c r="Z55" s="3">
        <f>Applicants!D27</f>
        <v>0</v>
      </c>
      <c r="AA55" s="79">
        <f>IF(Z55=0,0,IF(OR(INDEX($AG$55:$AG$58,MATCH(Z55,$AC$55:$AC$58,0))=1,INDEX($AH$55:$AH$58,MATCH(Z55,$AC$55:$AC$58,0))=1),IF(SUMIF($Z$55:$Z$58,Z55,$Y$55:$Y$58)=0,0,Y55/SUMIF($Z$55:$Z$58,Z55,$Y$55:$Y$58)),IF(Y55&lt;0,0,IF(SUMIFS($Y$55:$Y$58,$Z$55:$Z$58,Z55,$Y$55:$Y$58,"&gt;="&amp;0)=0,0,Y55/SUMIFS($Y$55:$Y$58,$Z$55:$Z$58,Z55,$Y$55:$Y$58,"&gt;="&amp;0)))))</f>
        <v>0</v>
      </c>
      <c r="AC55" s="3" t="s">
        <v>55</v>
      </c>
      <c r="AD55" s="3">
        <f>COUNTIF($Z$55:$Z$58,AC55)</f>
        <v>0</v>
      </c>
      <c r="AE55" s="3">
        <f>COUNTIFS($Z$55:$Z$58,AC55,$Y$55:$Y$58,"&gt;="&amp;0)</f>
        <v>0</v>
      </c>
      <c r="AF55" s="3">
        <f>COUNTIFS($Z$55:$Z$58,AC55,$Y$55:$Y$58,"&lt;"&amp;0)</f>
        <v>0</v>
      </c>
      <c r="AG55" s="3">
        <f>IF($AD55=0,0,IF(AE55=$AD55,1,0))</f>
        <v>0</v>
      </c>
      <c r="AH55" s="3">
        <f>IF($AD55=0,0,IF(AF55=$AD55,1,0))</f>
        <v>0</v>
      </c>
      <c r="AI55" s="3">
        <f>IF($AD55=0,0,IF(AND(AF55&gt;0,AE55&gt;0),1,0))</f>
        <v>0</v>
      </c>
      <c r="AJ55" s="97"/>
      <c r="AK55" s="81">
        <f ca="1">IF(SUM(Applicants!I$27:I$30)=0,0,OFFSET($F$69,AK$54-1,0)*Applicants!I27/IF(OFFSET($F$69,AK$54-1,0)&lt;0,SUM(Applicants!I$27:I$30),1))</f>
        <v>0</v>
      </c>
      <c r="AL55" s="81">
        <f ca="1">IF(SUM(Applicants!J$27:J$30)=0,0,OFFSET($F$69,AL$54-1,0)*Applicants!J27/IF(OFFSET($F$69,AL$54-1,0)&lt;0,SUM(Applicants!J$27:J$30),1))</f>
        <v>0</v>
      </c>
      <c r="AM55" s="81">
        <f ca="1">IF(SUM(Applicants!K$27:K$30)=0,0,OFFSET($F$69,AM$54-1,0)*Applicants!K27/IF(OFFSET($F$69,AM$54-1,0)&lt;0,SUM(Applicants!K$27:K$30),1))</f>
        <v>0</v>
      </c>
      <c r="AN55" s="81">
        <f ca="1">IF(SUM(Applicants!L$27:L$30)=0,0,OFFSET($F$69,AN$54-1,0)*Applicants!L27/IF(OFFSET($F$69,AN$54-1,0)&lt;0,SUM(Applicants!L$27:L$30),1))</f>
        <v>0</v>
      </c>
      <c r="AO55" s="81">
        <f ca="1">IF(SUM(Applicants!M$27:M$30)=0,0,OFFSET($F$76,AO$54-1,0)*Applicants!M27/IF(OFFSET($F$76,AO$54-1,0)&lt;0,SUM(Applicants!M$27:M$30),1))</f>
        <v>0</v>
      </c>
      <c r="AP55" s="81">
        <f ca="1">IF(SUM(Applicants!N$27:N$30)=0,0,OFFSET($F$76,AP$54-1,0)*Applicants!N27/IF(OFFSET($F$76,AP$54-1,0)&lt;0,SUM(Applicants!N$27:N$30),1))</f>
        <v>0</v>
      </c>
      <c r="AQ55" s="81">
        <f ca="1">IF(SUM(Applicants!O$27:O$30)=0,0,OFFSET($F$76,AQ$54-1,0)*Applicants!O27/IF(OFFSET($F$76,AQ$54-1,0)&lt;0,SUM(Applicants!O$27:O$30),1))</f>
        <v>0</v>
      </c>
      <c r="AR55" s="81">
        <f ca="1">IF(SUM(Applicants!P$27:P$30)=0,0,OFFSET($F$76,AR$54-1,0)*Applicants!P27/IF(OFFSET($F$76,AR$54-1,0)&lt;0,SUM(Applicants!P$27:P$30),1))</f>
        <v>0</v>
      </c>
      <c r="AT55" s="91">
        <f ca="1">IF(Applicants!$J$5="Yes",IF(B55&lt;&gt;"",(SUM(Loans!$B$56:$E$56)+SUM(Loans!$B$89:$U$89))/COUNT($B$55:$B$79),0),_xlfn.IFNA(SUMPRODUCT(OFFSET(Loans!$D$11,MATCH($B55,Loans!$A$12:$A$23,0),0,1,4),Loans!$B$56:$E$56),0)+SUMPRODUCT(OFFSET(Loans!$D$28,MATCH($B55,Loans!$A$29:$A$40,0),0,1,20),Loans!$B$89:$U$89))-L55-K55-N55</f>
        <v>0</v>
      </c>
    </row>
    <row r="56" spans="1:46" hidden="1" x14ac:dyDescent="0.2">
      <c r="A56" s="3">
        <f>A55+1</f>
        <v>2</v>
      </c>
      <c r="B56" s="3" t="str">
        <f>Applicants!B28</f>
        <v/>
      </c>
      <c r="C56" s="3" t="str">
        <f>Applicants!C28</f>
        <v/>
      </c>
      <c r="D56" s="89">
        <f>'Properties &amp; Ind Income'!L5+'Sole Trader Profit &amp; Loss'!O41</f>
        <v>0</v>
      </c>
      <c r="E56" s="89">
        <f ca="1">IF(Applicants!$J$5="Yes",IF(B56&lt;&gt;"",(SUM($F$69:$F$72)+SUM($F$76:$F$79))/COUNT($B$55:$B$65),0),SUM(AK56:AR56))</f>
        <v>0</v>
      </c>
      <c r="F56" s="90"/>
      <c r="G56" s="91">
        <f ca="1">D56+E56-F56</f>
        <v>0</v>
      </c>
      <c r="H56" s="92">
        <f ca="1">IF(Applicants!$J$5="Yes",IF($B56&lt;&gt;"",SUM('Properties &amp; Ind Income'!$E$3:$E$12)/COUNT($B$55:$B$79),0),SUMPRODUCT(OFFSET('Properties &amp; Ind Income'!$D$17,MATCH($B56,'Properties &amp; Ind Income'!$A$18:$A$29,0),0,1,10),'Properties &amp; Ind Income'!$D$44:$M$44))</f>
        <v>0</v>
      </c>
      <c r="I56" s="89">
        <f>'Properties &amp; Ind Income'!O5+'Properties &amp; Ind Income'!R5</f>
        <v>0</v>
      </c>
      <c r="J56" s="89">
        <f ca="1">G56+H56+I56</f>
        <v>0</v>
      </c>
      <c r="K56" s="93">
        <f ca="1">IF(Applicants!$J$5="Yes",
    IF(Serviceability!B56&lt;&gt;"",
        (SUM(Loans!$B$60:$E$60)+SUM(Loans!$B$100:$U$100))/COUNT(Serviceability!$B$55:$B$79),
        0),
    _xlfn.IFNA(SUMPRODUCT(OFFSET(Loans!$D$11,MATCH($B56,Loans!$A$12:$A$23,0),0,1,4),Loans!$B$60:$E$60,Loans!$B$54:$E$54),0)
    +SUMPRODUCT(OFFSET(Loans!$D$28,MATCH($B56,Loans!$A$29:$A$40,0),0,1,20),Loans!$B$100:$U$100,Loans!$B$67:$U$67))</f>
        <v>0</v>
      </c>
      <c r="L56" s="93" cm="1">
        <f t="array" aca="1" ref="L56" ca="1">IF(Applicants!$J$5="Yes",
    0,
    _xlfn.IFNA(SUMPRODUCT(OFFSET(Loans!$D$11,MATCH($B56,Loans!$A$12:$A$23,0),0,1,4),Loans!$B$50:$E$50,Loans!$B$55:$E$55),0)
    +SUMPRODUCT(OFFSET(Loans!$D$28,MATCH($B56,Loans!$A$29:$A$40,0),0,1,20),Loans!$B$63:$U$63,Loans!$B$68:$U$68)
    +_xlfn.IFNA(SUMPRODUCT(OFFSET(Loans!$D$11,MATCH($B56,Loans!$A$12:$A$23,0),0,1,4),(Loans!$B$50:$E$50-Loans!$B$60:$E$60),Loans!$B$54:$E$54),0)
    +SUMPRODUCT(OFFSET(Loans!$D$28,MATCH($B56,Loans!$A$29:$A$40,0),0,1,20),(Loans!$B$63:$U$63-Loans!$B$100:$U$100),Loans!$B$67:$U$67)
)</f>
        <v>0</v>
      </c>
      <c r="M56" s="89">
        <f ca="1">J56-SUM(K56:L56)</f>
        <v>0</v>
      </c>
      <c r="N56" s="89">
        <f ca="1">IF(Applicants!$J$5="Yes",IF(B56&lt;&gt;"",(SUM(Loans!$B$51:$E$51)+SUM(Loans!$B$64:$U$64))/COUNT($B$55:$B$79),0),_xlfn.IFNA(SUMPRODUCT(OFFSET(Loans!$D$11,MATCH($B56,Loans!$A$12:$A$23,0),0,1,4),Loans!$B$51:$E$51),0)+SUMPRODUCT(OFFSET(Loans!$D$28,MATCH($B56,Loans!$A$29:$A$40,0),0,1,20),Loans!$B$64:$U$64))-L56-K56</f>
        <v>0</v>
      </c>
      <c r="O56" s="89">
        <f ca="1">IF(Applicants!$J$5="Yes",IF(B56&lt;&gt;"",(SUM(Loans!$B$53:$E$53)+SUM(Loans!$B$66:$U$66))/COUNT($B$55:$B$79),0),_xlfn.IFNA(SUMPRODUCT(OFFSET(Loans!$D$11,MATCH($B56,Loans!$A$12:$A$23,0),0,1,4),Loans!$B$53:$E$53),0)+SUMPRODUCT(OFFSET(Loans!$D$28,MATCH($B56,Loans!$A$29:$A$40,0),0,1,20),Loans!$B$66:$U$66))-L56-K56-N56</f>
        <v>0</v>
      </c>
      <c r="P56" s="92">
        <f ca="1">IF(T56&lt;0,0,INDEX(Assumptions!$C$18:$C$23,MATCH(T56,Assumptions!$A$18:$A$23,1))+(T56-INDEX(Assumptions!$A$18:$A$23,MATCH(T56,Assumptions!$A$18:$A$23,1)))*INDEX(Assumptions!$B$18:$B$23,MATCH(T56,Assumptions!$A$18:$A$23,1)+1)+T56*Assumptions!$B$25)</f>
        <v>0</v>
      </c>
      <c r="Q56" s="89">
        <f>_xlfn.IFNA((MAX(INDEX(Assumptions!$B$28:$B$31,MATCH(Z56,Assumptions!$A$28:$A$31,0))*52,INDEX(Applicants!$K$17:$K$20,MATCH(RIGHT(Z56,1)*1,Applicants!$G$17:$G$20,0)))+INDEX(Applicants!$L$17:$L$20,MATCH(RIGHT(Z56,1)*1,Applicants!$G$17:$G$20,0)))*AA56,0)</f>
        <v>0</v>
      </c>
      <c r="R56" s="89">
        <f ca="1">SUM(G56:I56)-SUM(K56:L56)-SUM(N56:Q56)</f>
        <v>0</v>
      </c>
      <c r="T56" s="94">
        <f ca="1">D56+H56-K56-'Sole Trader Profit &amp; Loss'!O35+SUMPRODUCT($T$69:$T$72,OFFSET(Applicants!$B$81,0,$A56,4,1))+SUMPRODUCT($T$76:$T$79,OFFSET(Applicants!$B$88,0,$A56,4,1))</f>
        <v>0</v>
      </c>
      <c r="U56" s="89">
        <f ca="1">IF(Applicants!$J$5="Yes",IF(B56&lt;&gt;"",(SUM(Loans!$B$52:$E$52)+SUM(Loans!$B$65:$U$65))/COUNT($B$55:$B$79),0),_xlfn.IFNA(SUMPRODUCT(OFFSET(Loans!$D$11,MATCH($B56,Loans!$A$12:$A$23,0),0,1,4),Loans!$B$52:$E$52,Loans!$B$54:$E$54),0)+SUMPRODUCT(OFFSET(Loans!$D$28,MATCH($B56,Loans!$A$29:$A$40,0),0,1,20),Loans!$B$65:$U$65,Loans!$B$67:$U$67)+_xlfn.IFNA(SUMPRODUCT(OFFSET(Loans!$D$11,MATCH($B56,Loans!$A$12:$A$23,0),0,1,4),Loans!$B$52:$E$52,Loans!$B$55:$E$55),0)+SUMPRODUCT(OFFSET(Loans!$D$28,MATCH($B56,Loans!$A$29:$A$40,0),0,1,20),Loans!$B$65:$U$65,Loans!$B$68:$U$68))</f>
        <v>0</v>
      </c>
      <c r="V56" s="89">
        <f ca="1">IF(Applicants!$J$5="Yes",IF(B56&lt;&gt;"",(SUM(Loans!$B$49:$E$49)+SUM(Loans!$B$62:$U$62))/COUNT(Serviceability!$B$55:$B$79),0),_xlfn.IFNA(SUMPRODUCT(OFFSET(Loans!$D$11,MATCH($B56,Loans!$A$12:$A$23,0),0,1,4),Loans!$B$49:$E$49),0)+SUMPRODUCT(OFFSET(Loans!$D$28,MATCH($B56,Loans!$A$29:$A$40,0),0,1,20),Loans!$B$62:$U$62))</f>
        <v>0</v>
      </c>
      <c r="W56" s="95">
        <f ca="1">_xlfn.IFNA(SUMPRODUCT(OFFSET(Loans!$D$11,MATCH($B56,Loans!$A$12:$A$23,0),0,1,4),Loans!$B$59:$E$59),0)</f>
        <v>0</v>
      </c>
      <c r="Y56" s="96">
        <f ca="1">G56+H56+I56+SUMPRODUCT($G$62:$G$65,OFFSET(Applicants!$B$74,0,$A56,4,1))+SUMPRODUCT($H$62:$H$65,OFFSET(Applicants!$B$74,0,$A56,4,1))-_xlfn.IFNA(SUMPRODUCT(OFFSET(Loans!$D$11,MATCH($B56,Loans!$A$12:$A$23,0),0,1,4),Loans!$B$58:$E$58),0)-SUMPRODUCT(OFFSET(Loans!$D$28,MATCH($B56,Loans!$A$29:$A$40,0),0,1,20),Loans!$B$71:$U$71)-SUMPRODUCT(OFFSET(Loans!$D$28,MATCH($B56,Loans!$A$29:$A$40,0),0,1,20),Loans!$B$70:$U$70)</f>
        <v>0</v>
      </c>
      <c r="Z56" s="3">
        <f>Applicants!D28</f>
        <v>0</v>
      </c>
      <c r="AA56" s="79">
        <f t="shared" ref="AA56:AA58" si="24">IF(Z56=0,0,IF(OR(INDEX($AG$55:$AG$58,MATCH(Z56,$AC$55:$AC$58,0))=1,INDEX($AH$55:$AH$58,MATCH(Z56,$AC$55:$AC$58,0))=1),IF(SUMIF($Z$55:$Z$58,Z56,$Y$55:$Y$58)=0,0,Y56/SUMIF($Z$55:$Z$58,Z56,$Y$55:$Y$58)),IF(Y56&lt;0,0,IF(SUMIFS($Y$55:$Y$58,$Z$55:$Z$58,Z56,$Y$55:$Y$58,"&gt;="&amp;0)=0,0,Y56/SUMIFS($Y$55:$Y$58,$Z$55:$Z$58,Z56,$Y$55:$Y$58,"&gt;="&amp;0)))))</f>
        <v>0</v>
      </c>
      <c r="AC56" s="3" t="s">
        <v>56</v>
      </c>
      <c r="AD56" s="3">
        <f t="shared" ref="AD56:AD58" si="25">COUNTIF($Z$55:$Z$58,AC56)</f>
        <v>0</v>
      </c>
      <c r="AE56" s="3">
        <f t="shared" ref="AE56:AE58" si="26">COUNTIFS($Z$55:$Z$58,AC56,$Y$55:$Y$58,"&gt;="&amp;0)</f>
        <v>0</v>
      </c>
      <c r="AF56" s="3">
        <f t="shared" ref="AF56:AF58" si="27">COUNTIFS($Z$55:$Z$58,AC56,$Y$55:$Y$58,"&lt;"&amp;0)</f>
        <v>0</v>
      </c>
      <c r="AG56" s="3">
        <f t="shared" ref="AG56:AG58" si="28">IF(AD56=0,0,IF(AE56=AD56,1,0))</f>
        <v>0</v>
      </c>
      <c r="AH56" s="3">
        <f t="shared" ref="AH56:AH58" si="29">IF($AD56=0,0,IF(AF56=$AD56,1,0))</f>
        <v>0</v>
      </c>
      <c r="AI56" s="3">
        <f t="shared" ref="AI56:AI58" si="30">IF($AD56=0,0,IF(AND(AF56&gt;0,AE56&gt;0),1,0))</f>
        <v>0</v>
      </c>
      <c r="AJ56" s="97"/>
      <c r="AK56" s="81">
        <f ca="1">IF(SUM(Applicants!I$27:I$30)=0,0,OFFSET($F$69,AK$54-1,0)*Applicants!I28/IF(OFFSET($F$69,AK$54-1,0)&lt;0,SUM(Applicants!I$27:I$30),1))</f>
        <v>0</v>
      </c>
      <c r="AL56" s="81">
        <f ca="1">IF(SUM(Applicants!J$27:J$30)=0,0,OFFSET($F$69,AL$54-1,0)*Applicants!J28/IF(OFFSET($F$69,AL$54-1,0)&lt;0,SUM(Applicants!J$27:J$30),1))</f>
        <v>0</v>
      </c>
      <c r="AM56" s="81">
        <f ca="1">IF(SUM(Applicants!K$27:K$30)=0,0,OFFSET($F$69,AM$54-1,0)*Applicants!K28/IF(OFFSET($F$69,AM$54-1,0)&lt;0,SUM(Applicants!K$27:K$30),1))</f>
        <v>0</v>
      </c>
      <c r="AN56" s="81">
        <f ca="1">IF(SUM(Applicants!L$27:L$30)=0,0,OFFSET($F$69,AN$54-1,0)*Applicants!L28/IF(OFFSET($F$69,AN$54-1,0)&lt;0,SUM(Applicants!L$27:L$30),1))</f>
        <v>0</v>
      </c>
      <c r="AO56" s="81">
        <f ca="1">IF(SUM(Applicants!M$27:M$30)=0,0,OFFSET($F$76,AO$54-1,0)*Applicants!M28/IF(OFFSET($F$76,AO$54-1,0)&lt;0,SUM(Applicants!M$27:M$30),1))</f>
        <v>0</v>
      </c>
      <c r="AP56" s="81">
        <f ca="1">IF(SUM(Applicants!N$27:N$30)=0,0,OFFSET($F$76,AP$54-1,0)*Applicants!N28/IF(OFFSET($F$76,AP$54-1,0)&lt;0,SUM(Applicants!N$27:N$30),1))</f>
        <v>0</v>
      </c>
      <c r="AQ56" s="81">
        <f ca="1">IF(SUM(Applicants!O$27:O$30)=0,0,OFFSET($F$76,AQ$54-1,0)*Applicants!O28/IF(OFFSET($F$76,AQ$54-1,0)&lt;0,SUM(Applicants!O$27:O$30),1))</f>
        <v>0</v>
      </c>
      <c r="AR56" s="81">
        <f ca="1">IF(SUM(Applicants!P$27:P$30)=0,0,OFFSET($F$76,AR$54-1,0)*Applicants!P28/IF(OFFSET($F$76,AR$54-1,0)&lt;0,SUM(Applicants!P$27:P$30),1))</f>
        <v>0</v>
      </c>
      <c r="AT56" s="91">
        <f ca="1">IF(Applicants!$J$5="Yes",IF(B56&lt;&gt;"",(SUM(Loans!$B$56:$E$56)+SUM(Loans!$B$89:$U$89))/COUNT($B$55:$B$79),0),_xlfn.IFNA(SUMPRODUCT(OFFSET(Loans!$D$11,MATCH($B56,Loans!$A$12:$A$23,0),0,1,4),Loans!$B$56:$E$56),0)+SUMPRODUCT(OFFSET(Loans!$D$28,MATCH($B56,Loans!$A$29:$A$40,0),0,1,20),Loans!$B$89:$U$89))-L56-K56-N56</f>
        <v>0</v>
      </c>
    </row>
    <row r="57" spans="1:46" hidden="1" x14ac:dyDescent="0.2">
      <c r="A57" s="3">
        <f t="shared" ref="A57:A58" si="31">A56+1</f>
        <v>3</v>
      </c>
      <c r="B57" s="3" t="str">
        <f>Applicants!B29</f>
        <v/>
      </c>
      <c r="C57" s="3" t="str">
        <f>Applicants!C29</f>
        <v/>
      </c>
      <c r="D57" s="89">
        <f>'Properties &amp; Ind Income'!L6+'Sole Trader Profit &amp; Loss'!W41</f>
        <v>0</v>
      </c>
      <c r="E57" s="89">
        <f ca="1">IF(Applicants!$J$5="Yes",IF(B57&lt;&gt;"",(SUM($F$69:$F$72)+SUM($F$76:$F$79))/COUNT($B$55:$B$65),0),SUM(AK57:AR57))</f>
        <v>0</v>
      </c>
      <c r="F57" s="90"/>
      <c r="G57" s="91">
        <f ca="1">D57+E57-F57</f>
        <v>0</v>
      </c>
      <c r="H57" s="92">
        <f ca="1">IF(Applicants!$J$5="Yes",IF($B57&lt;&gt;"",SUM('Properties &amp; Ind Income'!$E$3:$E$12)/COUNT($B$55:$B$79),0),SUMPRODUCT(OFFSET('Properties &amp; Ind Income'!$D$17,MATCH($B57,'Properties &amp; Ind Income'!$A$18:$A$29,0),0,1,10),'Properties &amp; Ind Income'!$D$44:$M$44))</f>
        <v>0</v>
      </c>
      <c r="I57" s="89">
        <f>'Properties &amp; Ind Income'!O6+'Properties &amp; Ind Income'!R6</f>
        <v>0</v>
      </c>
      <c r="J57" s="89">
        <f ca="1">G57+H57+I57</f>
        <v>0</v>
      </c>
      <c r="K57" s="93">
        <f ca="1">IF(Applicants!$J$5="Yes",
    IF(Serviceability!B57&lt;&gt;"",
        (SUM(Loans!$B$60:$E$60)+SUM(Loans!$B$100:$U$100))/COUNT(Serviceability!$B$55:$B$79),
        0),
    _xlfn.IFNA(SUMPRODUCT(OFFSET(Loans!$D$11,MATCH($B57,Loans!$A$12:$A$23,0),0,1,4),Loans!$B$60:$E$60,Loans!$B$54:$E$54),0)
    +SUMPRODUCT(OFFSET(Loans!$D$28,MATCH($B57,Loans!$A$29:$A$40,0),0,1,20),Loans!$B$100:$U$100,Loans!$B$67:$U$67))</f>
        <v>0</v>
      </c>
      <c r="L57" s="93" cm="1">
        <f t="array" aca="1" ref="L57" ca="1">IF(Applicants!$J$5="Yes",
    0,
    _xlfn.IFNA(SUMPRODUCT(OFFSET(Loans!$D$11,MATCH($B57,Loans!$A$12:$A$23,0),0,1,4),Loans!$B$50:$E$50,Loans!$B$55:$E$55),0)
    +SUMPRODUCT(OFFSET(Loans!$D$28,MATCH($B57,Loans!$A$29:$A$40,0),0,1,20),Loans!$B$63:$U$63,Loans!$B$68:$U$68)
    +_xlfn.IFNA(SUMPRODUCT(OFFSET(Loans!$D$11,MATCH($B57,Loans!$A$12:$A$23,0),0,1,4),(Loans!$B$50:$E$50-Loans!$B$60:$E$60),Loans!$B$54:$E$54),0)
    +SUMPRODUCT(OFFSET(Loans!$D$28,MATCH($B57,Loans!$A$29:$A$40,0),0,1,20),(Loans!$B$63:$U$63-Loans!$B$100:$U$100),Loans!$B$67:$U$67)
)</f>
        <v>0</v>
      </c>
      <c r="M57" s="89">
        <f ca="1">J57-SUM(K57:L57)</f>
        <v>0</v>
      </c>
      <c r="N57" s="89">
        <f ca="1">IF(Applicants!$J$5="Yes",IF(B57&lt;&gt;"",(SUM(Loans!$B$51:$E$51)+SUM(Loans!$B$64:$U$64))/COUNT($B$55:$B$79),0),_xlfn.IFNA(SUMPRODUCT(OFFSET(Loans!$D$11,MATCH($B57,Loans!$A$12:$A$23,0),0,1,4),Loans!$B$51:$E$51),0)+SUMPRODUCT(OFFSET(Loans!$D$28,MATCH($B57,Loans!$A$29:$A$40,0),0,1,20),Loans!$B$64:$U$64))-L57-K57</f>
        <v>0</v>
      </c>
      <c r="O57" s="89">
        <f ca="1">IF(Applicants!$J$5="Yes",IF(B57&lt;&gt;"",(SUM(Loans!$B$53:$E$53)+SUM(Loans!$B$66:$U$66))/COUNT($B$55:$B$79),0),_xlfn.IFNA(SUMPRODUCT(OFFSET(Loans!$D$11,MATCH($B57,Loans!$A$12:$A$23,0),0,1,4),Loans!$B$53:$E$53),0)+SUMPRODUCT(OFFSET(Loans!$D$28,MATCH($B57,Loans!$A$29:$A$40,0),0,1,20),Loans!$B$66:$U$66))-L57-K57-N57</f>
        <v>0</v>
      </c>
      <c r="P57" s="92">
        <f ca="1">IF(T57&lt;0,0,INDEX(Assumptions!$C$18:$C$23,MATCH(T57,Assumptions!$A$18:$A$23,1))+(T57-INDEX(Assumptions!$A$18:$A$23,MATCH(T57,Assumptions!$A$18:$A$23,1)))*INDEX(Assumptions!$B$18:$B$23,MATCH(T57,Assumptions!$A$18:$A$23,1)+1)+T57*Assumptions!$B$25)</f>
        <v>0</v>
      </c>
      <c r="Q57" s="89">
        <f>_xlfn.IFNA((MAX(INDEX(Assumptions!$B$28:$B$31,MATCH(Z57,Assumptions!$A$28:$A$31,0))*52,INDEX(Applicants!$K$17:$K$20,MATCH(RIGHT(Z57,1)*1,Applicants!$G$17:$G$20,0)))+INDEX(Applicants!$L$17:$L$20,MATCH(RIGHT(Z57,1)*1,Applicants!$G$17:$G$20,0)))*AA57,0)</f>
        <v>0</v>
      </c>
      <c r="R57" s="89">
        <f ca="1">SUM(G57:I57)-SUM(K57:L57)-SUM(N57:Q57)</f>
        <v>0</v>
      </c>
      <c r="T57" s="94">
        <f ca="1">D57+H57-K57-'Sole Trader Profit &amp; Loss'!W35+SUMPRODUCT($T$69:$T$72,OFFSET(Applicants!$B$81,0,$A57,4,1))+SUMPRODUCT($T$76:$T$79,OFFSET(Applicants!$B$88,0,$A57,4,1))</f>
        <v>0</v>
      </c>
      <c r="U57" s="89">
        <f ca="1">IF(Applicants!$J$5="Yes",IF(B57&lt;&gt;"",(SUM(Loans!$B$52:$E$52)+SUM(Loans!$B$65:$U$65))/COUNT($B$55:$B$79),0),_xlfn.IFNA(SUMPRODUCT(OFFSET(Loans!$D$11,MATCH($B57,Loans!$A$12:$A$23,0),0,1,4),Loans!$B$52:$E$52,Loans!$B$54:$E$54),0)+SUMPRODUCT(OFFSET(Loans!$D$28,MATCH($B57,Loans!$A$29:$A$40,0),0,1,20),Loans!$B$65:$U$65,Loans!$B$67:$U$67)+_xlfn.IFNA(SUMPRODUCT(OFFSET(Loans!$D$11,MATCH($B57,Loans!$A$12:$A$23,0),0,1,4),Loans!$B$52:$E$52,Loans!$B$55:$E$55),0)+SUMPRODUCT(OFFSET(Loans!$D$28,MATCH($B57,Loans!$A$29:$A$40,0),0,1,20),Loans!$B$65:$U$65,Loans!$B$68:$U$68))</f>
        <v>0</v>
      </c>
      <c r="V57" s="89">
        <f ca="1">IF(Applicants!$J$5="Yes",IF(B57&lt;&gt;"",(SUM(Loans!$B$49:$E$49)+SUM(Loans!$B$62:$U$62))/COUNT(Serviceability!$B$55:$B$79),0),_xlfn.IFNA(SUMPRODUCT(OFFSET(Loans!$D$11,MATCH($B57,Loans!$A$12:$A$23,0),0,1,4),Loans!$B$49:$E$49),0)+SUMPRODUCT(OFFSET(Loans!$D$28,MATCH($B57,Loans!$A$29:$A$40,0),0,1,20),Loans!$B$62:$U$62))</f>
        <v>0</v>
      </c>
      <c r="W57" s="95">
        <f ca="1">_xlfn.IFNA(SUMPRODUCT(OFFSET(Loans!$D$11,MATCH($B57,Loans!$A$12:$A$23,0),0,1,4),Loans!$B$59:$E$59),0)</f>
        <v>0</v>
      </c>
      <c r="Y57" s="96">
        <f ca="1">G57+H57+I57+SUMPRODUCT($G$62:$G$65,OFFSET(Applicants!$B$74,0,$A57,4,1))+SUMPRODUCT($H$62:$H$65,OFFSET(Applicants!$B$74,0,$A57,4,1))-_xlfn.IFNA(SUMPRODUCT(OFFSET(Loans!$D$11,MATCH($B57,Loans!$A$12:$A$23,0),0,1,4),Loans!$B$58:$E$58),0)-SUMPRODUCT(OFFSET(Loans!$D$28,MATCH($B57,Loans!$A$29:$A$40,0),0,1,20),Loans!$B$71:$U$71)-SUMPRODUCT(OFFSET(Loans!$D$28,MATCH($B57,Loans!$A$29:$A$40,0),0,1,20),Loans!$B$70:$U$70)</f>
        <v>0</v>
      </c>
      <c r="Z57" s="3">
        <f>Applicants!D29</f>
        <v>0</v>
      </c>
      <c r="AA57" s="79">
        <f t="shared" si="24"/>
        <v>0</v>
      </c>
      <c r="AC57" s="3" t="s">
        <v>57</v>
      </c>
      <c r="AD57" s="3">
        <f t="shared" si="25"/>
        <v>0</v>
      </c>
      <c r="AE57" s="3">
        <f t="shared" si="26"/>
        <v>0</v>
      </c>
      <c r="AF57" s="3">
        <f t="shared" si="27"/>
        <v>0</v>
      </c>
      <c r="AG57" s="3">
        <f t="shared" si="28"/>
        <v>0</v>
      </c>
      <c r="AH57" s="3">
        <f t="shared" si="29"/>
        <v>0</v>
      </c>
      <c r="AI57" s="3">
        <f t="shared" si="30"/>
        <v>0</v>
      </c>
      <c r="AJ57" s="97"/>
      <c r="AK57" s="81">
        <f ca="1">IF(SUM(Applicants!I$27:I$30)=0,0,OFFSET($F$69,AK$54-1,0)*Applicants!I29/IF(OFFSET($F$69,AK$54-1,0)&lt;0,SUM(Applicants!I$27:I$30),1))</f>
        <v>0</v>
      </c>
      <c r="AL57" s="81">
        <f ca="1">IF(SUM(Applicants!J$27:J$30)=0,0,OFFSET($F$69,AL$54-1,0)*Applicants!J29/IF(OFFSET($F$69,AL$54-1,0)&lt;0,SUM(Applicants!J$27:J$30),1))</f>
        <v>0</v>
      </c>
      <c r="AM57" s="81">
        <f ca="1">IF(SUM(Applicants!K$27:K$30)=0,0,OFFSET($F$69,AM$54-1,0)*Applicants!K29/IF(OFFSET($F$69,AM$54-1,0)&lt;0,SUM(Applicants!K$27:K$30),1))</f>
        <v>0</v>
      </c>
      <c r="AN57" s="81">
        <f ca="1">IF(SUM(Applicants!L$27:L$30)=0,0,OFFSET($F$69,AN$54-1,0)*Applicants!L29/IF(OFFSET($F$69,AN$54-1,0)&lt;0,SUM(Applicants!L$27:L$30),1))</f>
        <v>0</v>
      </c>
      <c r="AO57" s="81">
        <f ca="1">IF(SUM(Applicants!M$27:M$30)=0,0,OFFSET($F$76,AO$54-1,0)*Applicants!M29/IF(OFFSET($F$76,AO$54-1,0)&lt;0,SUM(Applicants!M$27:M$30),1))</f>
        <v>0</v>
      </c>
      <c r="AP57" s="81">
        <f ca="1">IF(SUM(Applicants!N$27:N$30)=0,0,OFFSET($F$76,AP$54-1,0)*Applicants!N29/IF(OFFSET($F$76,AP$54-1,0)&lt;0,SUM(Applicants!N$27:N$30),1))</f>
        <v>0</v>
      </c>
      <c r="AQ57" s="81">
        <f ca="1">IF(SUM(Applicants!O$27:O$30)=0,0,OFFSET($F$76,AQ$54-1,0)*Applicants!O29/IF(OFFSET($F$76,AQ$54-1,0)&lt;0,SUM(Applicants!O$27:O$30),1))</f>
        <v>0</v>
      </c>
      <c r="AR57" s="81">
        <f ca="1">IF(SUM(Applicants!P$27:P$30)=0,0,OFFSET($F$76,AR$54-1,0)*Applicants!P29/IF(OFFSET($F$76,AR$54-1,0)&lt;0,SUM(Applicants!P$27:P$30),1))</f>
        <v>0</v>
      </c>
      <c r="AT57" s="91">
        <f ca="1">IF(Applicants!$J$5="Yes",IF(B57&lt;&gt;"",(SUM(Loans!$B$56:$E$56)+SUM(Loans!$B$89:$U$89))/COUNT($B$55:$B$79),0),_xlfn.IFNA(SUMPRODUCT(OFFSET(Loans!$D$11,MATCH($B57,Loans!$A$12:$A$23,0),0,1,4),Loans!$B$56:$E$56),0)+SUMPRODUCT(OFFSET(Loans!$D$28,MATCH($B57,Loans!$A$29:$A$40,0),0,1,20),Loans!$B$89:$U$89))-L57-K57-N57</f>
        <v>0</v>
      </c>
    </row>
    <row r="58" spans="1:46" hidden="1" x14ac:dyDescent="0.2">
      <c r="A58" s="3">
        <f t="shared" si="31"/>
        <v>4</v>
      </c>
      <c r="B58" s="3" t="str">
        <f>Applicants!B30</f>
        <v/>
      </c>
      <c r="C58" s="3" t="str">
        <f>Applicants!C30</f>
        <v/>
      </c>
      <c r="D58" s="89">
        <f>'Properties &amp; Ind Income'!L7+'Sole Trader Profit &amp; Loss'!AE41</f>
        <v>0</v>
      </c>
      <c r="E58" s="89">
        <f ca="1">IF(Applicants!$J$5="Yes",IF(B58&lt;&gt;"",(SUM($F$69:$F$72)+SUM($F$76:$F$79))/COUNT($B$55:$B$65),0),SUM(AK58:AR58))</f>
        <v>0</v>
      </c>
      <c r="F58" s="90"/>
      <c r="G58" s="91">
        <f ca="1">D58+E58-F58</f>
        <v>0</v>
      </c>
      <c r="H58" s="92">
        <f ca="1">IF(Applicants!$J$5="Yes",IF($B58&lt;&gt;"",SUM('Properties &amp; Ind Income'!$E$3:$E$12)/COUNT($B$55:$B$79),0),SUMPRODUCT(OFFSET('Properties &amp; Ind Income'!$D$17,MATCH($B58,'Properties &amp; Ind Income'!$A$18:$A$29,0),0,1,10),'Properties &amp; Ind Income'!$D$44:$M$44))</f>
        <v>0</v>
      </c>
      <c r="I58" s="89">
        <f>'Properties &amp; Ind Income'!O7+'Properties &amp; Ind Income'!R7</f>
        <v>0</v>
      </c>
      <c r="J58" s="89">
        <f ca="1">G58+H58+I58</f>
        <v>0</v>
      </c>
      <c r="K58" s="93">
        <f ca="1">IF(Applicants!$J$5="Yes",
    IF(Serviceability!B58&lt;&gt;"",
        (SUM(Loans!$B$60:$E$60)+SUM(Loans!$B$100:$U$100))/COUNT(Serviceability!$B$55:$B$79),
        0),
    _xlfn.IFNA(SUMPRODUCT(OFFSET(Loans!$D$11,MATCH($B58,Loans!$A$12:$A$23,0),0,1,4),Loans!$B$60:$E$60,Loans!$B$54:$E$54),0)
    +SUMPRODUCT(OFFSET(Loans!$D$28,MATCH($B58,Loans!$A$29:$A$40,0),0,1,20),Loans!$B$100:$U$100,Loans!$B$67:$U$67))</f>
        <v>0</v>
      </c>
      <c r="L58" s="93" cm="1">
        <f t="array" aca="1" ref="L58" ca="1">IF(Applicants!$J$5="Yes",
    0,
    _xlfn.IFNA(SUMPRODUCT(OFFSET(Loans!$D$11,MATCH($B58,Loans!$A$12:$A$23,0),0,1,4),Loans!$B$50:$E$50,Loans!$B$55:$E$55),0)
    +SUMPRODUCT(OFFSET(Loans!$D$28,MATCH($B58,Loans!$A$29:$A$40,0),0,1,20),Loans!$B$63:$U$63,Loans!$B$68:$U$68)
    +_xlfn.IFNA(SUMPRODUCT(OFFSET(Loans!$D$11,MATCH($B58,Loans!$A$12:$A$23,0),0,1,4),(Loans!$B$50:$E$50-Loans!$B$60:$E$60),Loans!$B$54:$E$54),0)
    +SUMPRODUCT(OFFSET(Loans!$D$28,MATCH($B58,Loans!$A$29:$A$40,0),0,1,20),(Loans!$B$63:$U$63-Loans!$B$100:$U$100),Loans!$B$67:$U$67)
)</f>
        <v>0</v>
      </c>
      <c r="M58" s="89">
        <f ca="1">J58-SUM(K58:L58)</f>
        <v>0</v>
      </c>
      <c r="N58" s="89">
        <f ca="1">IF(Applicants!$J$5="Yes",IF(B58&lt;&gt;"",(SUM(Loans!$B$51:$E$51)+SUM(Loans!$B$64:$U$64))/COUNT($B$55:$B$79),0),_xlfn.IFNA(SUMPRODUCT(OFFSET(Loans!$D$11,MATCH($B58,Loans!$A$12:$A$23,0),0,1,4),Loans!$B$51:$E$51),0)+SUMPRODUCT(OFFSET(Loans!$D$28,MATCH($B58,Loans!$A$29:$A$40,0),0,1,20),Loans!$B$64:$U$64))-L58-K58</f>
        <v>0</v>
      </c>
      <c r="O58" s="89">
        <f ca="1">IF(Applicants!$J$5="Yes",IF(B58&lt;&gt;"",(SUM(Loans!$B$53:$E$53)+SUM(Loans!$B$66:$U$66))/COUNT($B$55:$B$79),0),_xlfn.IFNA(SUMPRODUCT(OFFSET(Loans!$D$11,MATCH($B58,Loans!$A$12:$A$23,0),0,1,4),Loans!$B$53:$E$53),0)+SUMPRODUCT(OFFSET(Loans!$D$28,MATCH($B58,Loans!$A$29:$A$40,0),0,1,20),Loans!$B$66:$U$66))-L58-K58-N58</f>
        <v>0</v>
      </c>
      <c r="P58" s="92">
        <f ca="1">IF(T58&lt;0,0,INDEX(Assumptions!$C$18:$C$23,MATCH(T58,Assumptions!$A$18:$A$23,1))+(T58-INDEX(Assumptions!$A$18:$A$23,MATCH(T58,Assumptions!$A$18:$A$23,1)))*INDEX(Assumptions!$B$18:$B$23,MATCH(T58,Assumptions!$A$18:$A$23,1)+1)+T58*Assumptions!$B$25)</f>
        <v>0</v>
      </c>
      <c r="Q58" s="89">
        <f>_xlfn.IFNA((MAX(INDEX(Assumptions!$B$28:$B$31,MATCH(Z58,Assumptions!$A$28:$A$31,0))*52,INDEX(Applicants!$K$17:$K$20,MATCH(RIGHT(Z58,1)*1,Applicants!$G$17:$G$20,0)))+INDEX(Applicants!$L$17:$L$20,MATCH(RIGHT(Z58,1)*1,Applicants!$G$17:$G$20,0)))*AA58,0)</f>
        <v>0</v>
      </c>
      <c r="R58" s="89">
        <f ca="1">SUM(G58:I58)-SUM(K58:L58)-SUM(N58:Q58)</f>
        <v>0</v>
      </c>
      <c r="T58" s="94">
        <f ca="1">D58+H58-K58-'Sole Trader Profit &amp; Loss'!AE35+SUMPRODUCT($T$69:$T$72,OFFSET(Applicants!$B$81,0,$A58,4,1))+SUMPRODUCT($T$76:$T$79,OFFSET(Applicants!$B$88,0,$A58,4,1))</f>
        <v>0</v>
      </c>
      <c r="U58" s="89">
        <f ca="1">IF(Applicants!$J$5="Yes",IF(B58&lt;&gt;"",(SUM(Loans!$B$52:$E$52)+SUM(Loans!$B$65:$U$65))/COUNT($B$55:$B$79),0),_xlfn.IFNA(SUMPRODUCT(OFFSET(Loans!$D$11,MATCH($B58,Loans!$A$12:$A$23,0),0,1,4),Loans!$B$52:$E$52,Loans!$B$54:$E$54),0)+SUMPRODUCT(OFFSET(Loans!$D$28,MATCH($B58,Loans!$A$29:$A$40,0),0,1,20),Loans!$B$65:$U$65,Loans!$B$67:$U$67)+_xlfn.IFNA(SUMPRODUCT(OFFSET(Loans!$D$11,MATCH($B58,Loans!$A$12:$A$23,0),0,1,4),Loans!$B$52:$E$52,Loans!$B$55:$E$55),0)+SUMPRODUCT(OFFSET(Loans!$D$28,MATCH($B58,Loans!$A$29:$A$40,0),0,1,20),Loans!$B$65:$U$65,Loans!$B$68:$U$68))</f>
        <v>0</v>
      </c>
      <c r="V58" s="89">
        <f ca="1">IF(Applicants!$J$5="Yes",IF(B58&lt;&gt;"",(SUM(Loans!$B$49:$E$49)+SUM(Loans!$B$62:$U$62))/COUNT(Serviceability!$B$55:$B$79),0),_xlfn.IFNA(SUMPRODUCT(OFFSET(Loans!$D$11,MATCH($B58,Loans!$A$12:$A$23,0),0,1,4),Loans!$B$49:$E$49),0)+SUMPRODUCT(OFFSET(Loans!$D$28,MATCH($B58,Loans!$A$29:$A$40,0),0,1,20),Loans!$B$62:$U$62))</f>
        <v>0</v>
      </c>
      <c r="W58" s="95">
        <f ca="1">_xlfn.IFNA(SUMPRODUCT(OFFSET(Loans!$D$11,MATCH($B58,Loans!$A$12:$A$23,0),0,1,4),Loans!$B$59:$E$59),0)</f>
        <v>0</v>
      </c>
      <c r="Y58" s="96">
        <f ca="1">G58+H58+I58+SUMPRODUCT($G$62:$G$65,OFFSET(Applicants!$B$74,0,$A58,4,1))+SUMPRODUCT($H$62:$H$65,OFFSET(Applicants!$B$74,0,$A58,4,1))-_xlfn.IFNA(SUMPRODUCT(OFFSET(Loans!$D$11,MATCH($B58,Loans!$A$12:$A$23,0),0,1,4),Loans!$B$58:$E$58),0)-SUMPRODUCT(OFFSET(Loans!$D$28,MATCH($B58,Loans!$A$29:$A$40,0),0,1,20),Loans!$B$71:$U$71)-SUMPRODUCT(OFFSET(Loans!$D$28,MATCH($B58,Loans!$A$29:$A$40,0),0,1,20),Loans!$B$70:$U$70)</f>
        <v>0</v>
      </c>
      <c r="Z58" s="3">
        <f>Applicants!D30</f>
        <v>0</v>
      </c>
      <c r="AA58" s="79">
        <f t="shared" si="24"/>
        <v>0</v>
      </c>
      <c r="AC58" s="3" t="s">
        <v>58</v>
      </c>
      <c r="AD58" s="3">
        <f t="shared" si="25"/>
        <v>0</v>
      </c>
      <c r="AE58" s="3">
        <f t="shared" si="26"/>
        <v>0</v>
      </c>
      <c r="AF58" s="3">
        <f t="shared" si="27"/>
        <v>0</v>
      </c>
      <c r="AG58" s="3">
        <f t="shared" si="28"/>
        <v>0</v>
      </c>
      <c r="AH58" s="3">
        <f t="shared" si="29"/>
        <v>0</v>
      </c>
      <c r="AI58" s="3">
        <f t="shared" si="30"/>
        <v>0</v>
      </c>
      <c r="AJ58" s="97"/>
      <c r="AK58" s="81">
        <f ca="1">IF(SUM(Applicants!I$27:I$30)=0,0,OFFSET($F$69,AK$54-1,0)*Applicants!I30/IF(OFFSET($F$69,AK$54-1,0)&lt;0,SUM(Applicants!I$27:I$30),1))</f>
        <v>0</v>
      </c>
      <c r="AL58" s="81">
        <f ca="1">IF(SUM(Applicants!J$27:J$30)=0,0,OFFSET($F$69,AL$54-1,0)*Applicants!J30/IF(OFFSET($F$69,AL$54-1,0)&lt;0,SUM(Applicants!J$27:J$30),1))</f>
        <v>0</v>
      </c>
      <c r="AM58" s="81">
        <f ca="1">IF(SUM(Applicants!K$27:K$30)=0,0,OFFSET($F$69,AM$54-1,0)*Applicants!K30/IF(OFFSET($F$69,AM$54-1,0)&lt;0,SUM(Applicants!K$27:K$30),1))</f>
        <v>0</v>
      </c>
      <c r="AN58" s="81">
        <f ca="1">IF(SUM(Applicants!L$27:L$30)=0,0,OFFSET($F$69,AN$54-1,0)*Applicants!L30/IF(OFFSET($F$69,AN$54-1,0)&lt;0,SUM(Applicants!L$27:L$30),1))</f>
        <v>0</v>
      </c>
      <c r="AO58" s="81">
        <f ca="1">IF(SUM(Applicants!M$27:M$30)=0,0,OFFSET($F$76,AO$54-1,0)*Applicants!M30/IF(OFFSET($F$76,AO$54-1,0)&lt;0,SUM(Applicants!M$27:M$30),1))</f>
        <v>0</v>
      </c>
      <c r="AP58" s="81">
        <f ca="1">IF(SUM(Applicants!N$27:N$30)=0,0,OFFSET($F$76,AP$54-1,0)*Applicants!N30/IF(OFFSET($F$76,AP$54-1,0)&lt;0,SUM(Applicants!N$27:N$30),1))</f>
        <v>0</v>
      </c>
      <c r="AQ58" s="81">
        <f ca="1">IF(SUM(Applicants!O$27:O$30)=0,0,OFFSET($F$76,AQ$54-1,0)*Applicants!O30/IF(OFFSET($F$76,AQ$54-1,0)&lt;0,SUM(Applicants!O$27:O$30),1))</f>
        <v>0</v>
      </c>
      <c r="AR58" s="81">
        <f ca="1">IF(SUM(Applicants!P$27:P$30)=0,0,OFFSET($F$76,AR$54-1,0)*Applicants!P30/IF(OFFSET($F$76,AR$54-1,0)&lt;0,SUM(Applicants!P$27:P$30),1))</f>
        <v>0</v>
      </c>
      <c r="AT58" s="91">
        <f ca="1">IF(Applicants!$J$5="Yes",IF(B58&lt;&gt;"",(SUM(Loans!$B$56:$E$56)+SUM(Loans!$B$89:$U$89))/COUNT($B$55:$B$79),0),_xlfn.IFNA(SUMPRODUCT(OFFSET(Loans!$D$11,MATCH($B58,Loans!$A$12:$A$23,0),0,1,4),Loans!$B$56:$E$56),0)+SUMPRODUCT(OFFSET(Loans!$D$28,MATCH($B58,Loans!$A$29:$A$40,0),0,1,20),Loans!$B$89:$U$89))-L58-K58-N58</f>
        <v>0</v>
      </c>
    </row>
    <row r="59" spans="1:46" hidden="1" x14ac:dyDescent="0.2">
      <c r="D59" s="89"/>
      <c r="E59" s="89"/>
      <c r="F59" s="89"/>
      <c r="G59" s="91"/>
      <c r="H59" s="92"/>
      <c r="I59" s="89"/>
      <c r="J59" s="89"/>
      <c r="K59" s="92"/>
      <c r="L59" s="89"/>
      <c r="M59" s="89"/>
      <c r="N59" s="89"/>
      <c r="O59" s="89"/>
      <c r="P59" s="92"/>
      <c r="Q59" s="89"/>
      <c r="R59" s="89"/>
      <c r="T59" s="92"/>
      <c r="U59" s="89"/>
      <c r="V59" s="89"/>
      <c r="W59" s="4"/>
      <c r="AT59" s="91"/>
    </row>
    <row r="60" spans="1:46" hidden="1" x14ac:dyDescent="0.2">
      <c r="D60" s="89"/>
      <c r="E60" s="89"/>
      <c r="F60" s="89"/>
      <c r="G60" s="91"/>
      <c r="H60" s="92"/>
      <c r="I60" s="89"/>
      <c r="J60" s="89"/>
      <c r="K60" s="92"/>
      <c r="L60" s="89"/>
      <c r="M60" s="89"/>
      <c r="N60" s="89"/>
      <c r="O60" s="89"/>
      <c r="P60" s="92"/>
      <c r="Q60" s="89"/>
      <c r="R60" s="89"/>
      <c r="T60" s="92"/>
      <c r="U60" s="98"/>
      <c r="V60" s="89"/>
      <c r="W60" s="4"/>
      <c r="AT60" s="91"/>
    </row>
    <row r="61" spans="1:46" hidden="1" x14ac:dyDescent="0.2">
      <c r="A61" s="3" t="s">
        <v>59</v>
      </c>
      <c r="D61" s="89"/>
      <c r="E61" s="89"/>
      <c r="F61" s="89"/>
      <c r="G61" s="91"/>
      <c r="H61" s="92"/>
      <c r="I61" s="89"/>
      <c r="J61" s="89"/>
      <c r="K61" s="92"/>
      <c r="L61" s="89"/>
      <c r="M61" s="89"/>
      <c r="N61" s="89"/>
      <c r="O61" s="89"/>
      <c r="P61" s="92"/>
      <c r="Q61" s="89"/>
      <c r="R61" s="89"/>
      <c r="T61" s="92"/>
      <c r="U61" s="89"/>
      <c r="V61" s="89"/>
      <c r="W61" s="4"/>
      <c r="AT61" s="91"/>
    </row>
    <row r="62" spans="1:46" hidden="1" x14ac:dyDescent="0.2">
      <c r="A62" s="3">
        <v>1</v>
      </c>
      <c r="B62" s="3" t="str">
        <f>INDEX(Applicants!$E$25:$H$25,1,A62)</f>
        <v/>
      </c>
      <c r="C62" s="3" t="str">
        <f t="shared" ref="C62:C63" si="32">IF(B62="","",INDEX($B$23:$B$34,B62))</f>
        <v/>
      </c>
      <c r="D62" s="89">
        <f>'Company Profit &amp; Loss'!G41</f>
        <v>0</v>
      </c>
      <c r="E62" s="99">
        <f ca="1">IF(Applicants!$J$5="Yes",IF(B62&lt;&gt;"",(SUM($F$69:$F$72)+SUM($F$76:$F$79))/COUNT($B$55:$B$65),0),SUMPRODUCT($F$69:$F$72,OFFSET(Applicants!$B$95,0,$A62,4,1))+SUMPRODUCT($F$76:$F$79,OFFSET(Applicants!$B$102,0,$A62,4,1)))</f>
        <v>0</v>
      </c>
      <c r="F62" s="90"/>
      <c r="G62" s="91">
        <f ca="1">D62+E62-F62</f>
        <v>0</v>
      </c>
      <c r="H62" s="92">
        <f ca="1">IF(Applicants!$J$5="Yes",IF($B62&lt;&gt;"",SUM('Properties &amp; Ind Income'!$E$3:$E$12)/COUNT($B$55:$B$79),0),SUMPRODUCT(OFFSET('Properties &amp; Ind Income'!$D$17,MATCH($B62,'Properties &amp; Ind Income'!$A$18:$A$29,0),0,1,10),'Properties &amp; Ind Income'!$D$44:$M$44))</f>
        <v>0</v>
      </c>
      <c r="I62" s="100"/>
      <c r="J62" s="89">
        <f ca="1">G62+H62+I62</f>
        <v>0</v>
      </c>
      <c r="K62" s="93">
        <f ca="1">IF(Applicants!$J$5="Yes",
    IF(B62&lt;&gt;"",
        (SUM(Loans!$B$60:$E$60)+SUM(Loans!$B$100:$U$100))/COUNT($B$55:$B$79),
        0),
    _xlfn.IFNA(SUMPRODUCT(OFFSET(Loans!$D$11,MATCH($B62,Loans!$A$12:$A$23,0),0,1,4),Loans!$B$60:$E$60),0)
    +SUMPRODUCT(OFFSET(Loans!$D$28,MATCH($B62,Loans!$A$29:$A$40,0),0,1,20),Loans!$B$100:$U$100))</f>
        <v>0</v>
      </c>
      <c r="L62" s="100"/>
      <c r="M62" s="89">
        <f ca="1">J62-SUM(K62:L62)</f>
        <v>0</v>
      </c>
      <c r="N62" s="89">
        <f ca="1">IF(Applicants!$J$5="Yes",IF(B62&lt;&gt;"",(SUM(Loans!$B$51:$E$51)+SUM(Loans!$B$64:$U$64))/COUNT($B$55:$B$79),0),_xlfn.IFNA(SUMPRODUCT(OFFSET(Loans!$D$11,MATCH($B62,Loans!$A$12:$A$23,0),0,1,4),Loans!$B$51:$E$51),0)+SUMPRODUCT(OFFSET(Loans!$D$28,MATCH($B62,Loans!$A$29:$A$40,0),0,1,20),Loans!$B$64:$U$64))-L62-K62</f>
        <v>0</v>
      </c>
      <c r="O62" s="89">
        <f ca="1">IF(Applicants!$J$5="Yes",IF(B62&lt;&gt;"",(SUM(Loans!$B$53:$E$53)+SUM(Loans!$B$66:$U$66))/COUNT($B$55:$B$79),0),_xlfn.IFNA(SUMPRODUCT(OFFSET(Loans!$D$11,MATCH($B62,Loans!$A$12:$A$23,0),0,1,4),Loans!$B$53:$E$53),0)+SUMPRODUCT(OFFSET(Loans!$D$28,MATCH($B62,Loans!$A$29:$A$40,0),0,1,20),Loans!$B$66:$U$66))-L62-K62-N62</f>
        <v>0</v>
      </c>
      <c r="P62" s="92">
        <f ca="1">MAX(T62*Assumptions!$B$2,0)</f>
        <v>0</v>
      </c>
      <c r="Q62" s="100"/>
      <c r="R62" s="89">
        <f ca="1">SUM(G62:I62)-SUM(K62:L62)-SUM(N62:Q62)</f>
        <v>0</v>
      </c>
      <c r="T62" s="101">
        <f ca="1">D62+H62-K62-'Company Profit &amp; Loss'!G35+SUMPRODUCT($T$69:$T$72,OFFSET(Applicants!$B$95,0,$A62,4,1))+SUMPRODUCT($T$76:$T$79,OFFSET(Applicants!$B$102,0,$A62,4,1))</f>
        <v>0</v>
      </c>
      <c r="U62" s="89">
        <f ca="1">IF(Applicants!$J$5="Yes",IF(B62&lt;&gt;"",(SUM(Loans!$B$52:$E$52)+SUM(Loans!$B$65:$U$65))/COUNT($B$55:$B$79),0),_xlfn.IFNA(SUMPRODUCT(OFFSET(Loans!$D$11,MATCH($B62,Loans!$A$12:$A$23,0),0,1,4),Loans!$B$52:$E$52,Loans!$B$54:$E$54),0)+SUMPRODUCT(OFFSET(Loans!$D$28,MATCH($B62,Loans!$A$29:$A$40,0),0,1,20),Loans!$B$65:$U$65,Loans!$B$67:$U$67)+_xlfn.IFNA(SUMPRODUCT(OFFSET(Loans!$D$11,MATCH($B62,Loans!$A$12:$A$23,0),0,1,4),Loans!$B$52:$E$52,Loans!$B$55:$E$55),0)+SUMPRODUCT(OFFSET(Loans!$D$28,MATCH($B62,Loans!$A$29:$A$40,0),0,1,20),Loans!$B$65:$U$65,Loans!$B$68:$U$68))</f>
        <v>0</v>
      </c>
      <c r="V62" s="89">
        <f ca="1">IF(Applicants!$J$5="Yes",IF(B62&lt;&gt;"",(SUM(Loans!$B$49:$E$49)+SUM(Loans!$B$62:$U$62))/COUNT(Serviceability!$B$55:$B$79),0),_xlfn.IFNA(SUMPRODUCT(OFFSET(Loans!$D$11,MATCH($B62,Loans!$A$12:$A$23,0),0,1,4),Loans!$B$49:$E$49),0)+SUMPRODUCT(OFFSET(Loans!$D$28,MATCH($B62,Loans!$A$29:$A$40,0),0,1,20),Loans!$B$62:$U$62))</f>
        <v>0</v>
      </c>
      <c r="W62" s="95">
        <f ca="1">_xlfn.IFNA(SUMPRODUCT(OFFSET(Loans!$D$11,MATCH($B62,Loans!$A$12:$A$23,0),0,1,4),Loans!$B$59:$E$59),0)</f>
        <v>0</v>
      </c>
      <c r="AK62" s="81">
        <f ca="1">IF(SUM(Applicants!D$37:D$40)=0,0,OFFSET($F$69,AK$54-1,0)*Applicants!D37/IF(OFFSET($F$69,AK$54-1,0)&lt;0,SUM(Applicants!D$27:D$40),1))</f>
        <v>0</v>
      </c>
      <c r="AL62" s="81">
        <f ca="1">IF(SUM(Applicants!E$37:E$40)=0,0,OFFSET($F$69,AL$54-1,0)*Applicants!E37/IF(OFFSET($F$69,AL$54-1,0)&lt;0,SUM(Applicants!E$27:E$40),1))</f>
        <v>0</v>
      </c>
      <c r="AM62" s="81">
        <f ca="1">IF(SUM(Applicants!F$37:F$40)=0,0,OFFSET($F$69,AM$54-1,0)*Applicants!F37/IF(OFFSET($F$69,AM$54-1,0)&lt;0,SUM(Applicants!F$27:F$40),1))</f>
        <v>0</v>
      </c>
      <c r="AN62" s="81">
        <f ca="1">IF(SUM(Applicants!G$37:G$40)=0,0,OFFSET($F$69,AN$54-1,0)*Applicants!G37/IF(OFFSET($F$69,AN$54-1,0)&lt;0,SUM(Applicants!G$27:G$40),1))</f>
        <v>0</v>
      </c>
      <c r="AO62" s="81">
        <f ca="1">IF(SUM(Applicants!H$37:H$40)=0,0,OFFSET($F$76,AO$54-1,0)*Applicants!H37/IF(OFFSET($F$76,AO$54-1,0)&lt;0,SUM(Applicants!H$37:H$40),1))</f>
        <v>0</v>
      </c>
      <c r="AP62" s="81">
        <f ca="1">IF(SUM(Applicants!I$37:I$40)=0,0,OFFSET($F$76,AP$54-1,0)*Applicants!I37/IF(OFFSET($F$76,AP$54-1,0)&lt;0,SUM(Applicants!I$37:I$40),1))</f>
        <v>0</v>
      </c>
      <c r="AQ62" s="81">
        <f ca="1">IF(SUM(Applicants!J$37:J$40)=0,0,OFFSET($F$76,AQ$54-1,0)*Applicants!J37/IF(OFFSET($F$76,AQ$54-1,0)&lt;0,SUM(Applicants!J$37:J$40),1))</f>
        <v>0</v>
      </c>
      <c r="AR62" s="81">
        <f ca="1">IF(SUM(Applicants!K$37:K$40)=0,0,OFFSET($F$76,AR$54-1,0)*Applicants!K37/IF(OFFSET($F$76,AR$54-1,0)&lt;0,SUM(Applicants!K$37:K$40),1))</f>
        <v>0</v>
      </c>
      <c r="AT62" s="91">
        <f ca="1">IF(Applicants!$J$5="Yes",IF(B62&lt;&gt;"",(SUM(Loans!$B$56:$E$56)+SUM(Loans!$B$89:$U$89))/COUNT($B$55:$B$79),0),_xlfn.IFNA(SUMPRODUCT(OFFSET(Loans!$D$11,MATCH($B62,Loans!$A$12:$A$23,0),0,1,4),Loans!$B$56:$E$56),0)+SUMPRODUCT(OFFSET(Loans!$D$28,MATCH($B62,Loans!$A$29:$A$40,0),0,1,20),Loans!$B$89:$U$89))-L62-K62-N62</f>
        <v>0</v>
      </c>
    </row>
    <row r="63" spans="1:46" hidden="1" x14ac:dyDescent="0.2">
      <c r="A63" s="3">
        <f>A62+1</f>
        <v>2</v>
      </c>
      <c r="B63" s="3" t="str">
        <f>INDEX(Applicants!$E$25:$H$25,1,A63)</f>
        <v/>
      </c>
      <c r="C63" s="3" t="str">
        <f t="shared" si="32"/>
        <v/>
      </c>
      <c r="D63" s="89">
        <f>'Company Profit &amp; Loss'!O41</f>
        <v>0</v>
      </c>
      <c r="E63" s="99">
        <f ca="1">IF(Applicants!$J$5="Yes",IF(B63&lt;&gt;"",(SUM($F$69:$F$72)+SUM($F$76:$F$79))/COUNT($B$55:$B$65),0),SUMPRODUCT($F$69:$F$72,OFFSET(Applicants!$B$95,0,$A63,4,1))+SUMPRODUCT($F$76:$F$79,OFFSET(Applicants!$B$102,0,$A63,4,1)))</f>
        <v>0</v>
      </c>
      <c r="F63" s="90"/>
      <c r="G63" s="91">
        <f ca="1">D63+E63-F63</f>
        <v>0</v>
      </c>
      <c r="H63" s="92">
        <f ca="1">IF(Applicants!$J$5="Yes",IF($B63&lt;&gt;"",SUM('Properties &amp; Ind Income'!$E$3:$E$12)/COUNT($B$55:$B$79),0),SUMPRODUCT(OFFSET('Properties &amp; Ind Income'!$D$17,MATCH($B63,'Properties &amp; Ind Income'!$A$18:$A$29,0),0,1,10),'Properties &amp; Ind Income'!$D$44:$M$44))</f>
        <v>0</v>
      </c>
      <c r="I63" s="100"/>
      <c r="J63" s="89">
        <f ca="1">G63+H63+I63</f>
        <v>0</v>
      </c>
      <c r="K63" s="93">
        <f ca="1">IF(Applicants!$J$5="Yes",
    IF(B63&lt;&gt;"",
        (SUM(Loans!$B$60:$E$60)+SUM(Loans!$B$100:$U$100))/COUNT($B$55:$B$79),
        0),
    _xlfn.IFNA(SUMPRODUCT(OFFSET(Loans!$D$11,MATCH($B63,Loans!$A$12:$A$23,0),0,1,4),Loans!$B$60:$E$60),0)
    +SUMPRODUCT(OFFSET(Loans!$D$28,MATCH($B63,Loans!$A$29:$A$40,0),0,1,20),Loans!$B$100:$U$100))</f>
        <v>0</v>
      </c>
      <c r="L63" s="100"/>
      <c r="M63" s="89">
        <f ca="1">J63-SUM(K63:L63)</f>
        <v>0</v>
      </c>
      <c r="N63" s="89">
        <f ca="1">IF(Applicants!$J$5="Yes",IF(B63&lt;&gt;"",(SUM(Loans!$B$51:$E$51)+SUM(Loans!$B$64:$U$64))/COUNT($B$55:$B$79),0),_xlfn.IFNA(SUMPRODUCT(OFFSET(Loans!$D$11,MATCH($B63,Loans!$A$12:$A$23,0),0,1,4),Loans!$B$51:$E$51),0)+SUMPRODUCT(OFFSET(Loans!$D$28,MATCH($B63,Loans!$A$29:$A$40,0),0,1,20),Loans!$B$64:$U$64))-L63-K63</f>
        <v>0</v>
      </c>
      <c r="O63" s="89">
        <f ca="1">IF(Applicants!$J$5="Yes",IF(B63&lt;&gt;"",(SUM(Loans!$B$53:$E$53)+SUM(Loans!$B$66:$U$66))/COUNT($B$55:$B$79),0),_xlfn.IFNA(SUMPRODUCT(OFFSET(Loans!$D$11,MATCH($B63,Loans!$A$12:$A$23,0),0,1,4),Loans!$B$53:$E$53),0)+SUMPRODUCT(OFFSET(Loans!$D$28,MATCH($B63,Loans!$A$29:$A$40,0),0,1,20),Loans!$B$66:$U$66))-L63-K63-N63</f>
        <v>0</v>
      </c>
      <c r="P63" s="92">
        <f ca="1">MAX(T63*Assumptions!$B$2,0)</f>
        <v>0</v>
      </c>
      <c r="Q63" s="100"/>
      <c r="R63" s="89">
        <f ca="1">SUM(G63:I63)-SUM(K63:L63)-SUM(N63:Q63)</f>
        <v>0</v>
      </c>
      <c r="T63" s="101">
        <f ca="1">D63+H63-K63-'Company Profit &amp; Loss'!O35+SUMPRODUCT($T$69:$T$72,OFFSET(Applicants!$B$95,0,$A63,4,1))+SUMPRODUCT($T$76:$T$79,OFFSET(Applicants!$B$102,0,$A63,4,1))</f>
        <v>0</v>
      </c>
      <c r="U63" s="89">
        <f ca="1">IF(Applicants!$J$5="Yes",IF(B63&lt;&gt;"",(SUM(Loans!$B$52:$E$52)+SUM(Loans!$B$65:$U$65))/COUNT($B$55:$B$79),0),_xlfn.IFNA(SUMPRODUCT(OFFSET(Loans!$D$11,MATCH($B63,Loans!$A$12:$A$23,0),0,1,4),Loans!$B$52:$E$52,Loans!$B$54:$E$54),0)+SUMPRODUCT(OFFSET(Loans!$D$28,MATCH($B63,Loans!$A$29:$A$40,0),0,1,20),Loans!$B$65:$U$65,Loans!$B$67:$U$67)+_xlfn.IFNA(SUMPRODUCT(OFFSET(Loans!$D$11,MATCH($B63,Loans!$A$12:$A$23,0),0,1,4),Loans!$B$52:$E$52,Loans!$B$55:$E$55),0)+SUMPRODUCT(OFFSET(Loans!$D$28,MATCH($B63,Loans!$A$29:$A$40,0),0,1,20),Loans!$B$65:$U$65,Loans!$B$68:$U$68))</f>
        <v>0</v>
      </c>
      <c r="V63" s="89">
        <f ca="1">IF(Applicants!$J$5="Yes",IF(B63&lt;&gt;"",(SUM(Loans!$B$49:$E$49)+SUM(Loans!$B$62:$U$62))/COUNT(Serviceability!$B$55:$B$79),0),_xlfn.IFNA(SUMPRODUCT(OFFSET(Loans!$D$11,MATCH($B63,Loans!$A$12:$A$23,0),0,1,4),Loans!$B$49:$E$49),0)+SUMPRODUCT(OFFSET(Loans!$D$28,MATCH($B63,Loans!$A$29:$A$40,0),0,1,20),Loans!$B$62:$U$62))</f>
        <v>0</v>
      </c>
      <c r="W63" s="95">
        <f ca="1">_xlfn.IFNA(SUMPRODUCT(OFFSET(Loans!$D$11,MATCH($B63,Loans!$A$12:$A$23,0),0,1,4),Loans!$B$59:$E$59),0)</f>
        <v>0</v>
      </c>
      <c r="AK63" s="81">
        <f ca="1">IF(SUM(Applicants!D$37:D$40)=0,0,OFFSET($F$69,AK$54-1,0)*Applicants!D38/IF(OFFSET($F$69,AK$54-1,0)&lt;0,SUM(Applicants!D$27:D$40),1))</f>
        <v>0</v>
      </c>
      <c r="AL63" s="81">
        <f ca="1">IF(SUM(Applicants!E$37:E$40)=0,0,OFFSET($F$69,AL$54-1,0)*Applicants!E38/IF(OFFSET($F$69,AL$54-1,0)&lt;0,SUM(Applicants!E$27:E$40),1))</f>
        <v>0</v>
      </c>
      <c r="AM63" s="81">
        <f ca="1">IF(SUM(Applicants!F$37:F$40)=0,0,OFFSET($F$69,AM$54-1,0)*Applicants!F38/IF(OFFSET($F$69,AM$54-1,0)&lt;0,SUM(Applicants!F$27:F$40),1))</f>
        <v>0</v>
      </c>
      <c r="AN63" s="81">
        <f ca="1">IF(SUM(Applicants!G$37:G$40)=0,0,OFFSET($F$69,AN$54-1,0)*Applicants!G38/IF(OFFSET($F$69,AN$54-1,0)&lt;0,SUM(Applicants!G$27:G$40),1))</f>
        <v>0</v>
      </c>
      <c r="AO63" s="81">
        <f ca="1">IF(SUM(Applicants!H$37:H$40)=0,0,OFFSET($F$76,AO$54-1,0)*Applicants!H38/IF(OFFSET($F$76,AO$54-1,0)&lt;0,SUM(Applicants!H$37:H$40),1))</f>
        <v>0</v>
      </c>
      <c r="AP63" s="81">
        <f ca="1">IF(SUM(Applicants!I$37:I$40)=0,0,OFFSET($F$76,AP$54-1,0)*Applicants!I38/IF(OFFSET($F$76,AP$54-1,0)&lt;0,SUM(Applicants!I$37:I$40),1))</f>
        <v>0</v>
      </c>
      <c r="AQ63" s="81">
        <f ca="1">IF(SUM(Applicants!J$37:J$40)=0,0,OFFSET($F$76,AQ$54-1,0)*Applicants!J38/IF(OFFSET($F$76,AQ$54-1,0)&lt;0,SUM(Applicants!J$37:J$40),1))</f>
        <v>0</v>
      </c>
      <c r="AR63" s="81">
        <f ca="1">IF(SUM(Applicants!K$37:K$40)=0,0,OFFSET($F$76,AR$54-1,0)*Applicants!K38/IF(OFFSET($F$76,AR$54-1,0)&lt;0,SUM(Applicants!K$37:K$40),1))</f>
        <v>0</v>
      </c>
      <c r="AT63" s="91">
        <f ca="1">IF(Applicants!$J$5="Yes",IF(B63&lt;&gt;"",(SUM(Loans!$B$56:$E$56)+SUM(Loans!$B$89:$U$89))/COUNT($B$55:$B$79),0),_xlfn.IFNA(SUMPRODUCT(OFFSET(Loans!$D$11,MATCH($B63,Loans!$A$12:$A$23,0),0,1,4),Loans!$B$56:$E$56),0)+SUMPRODUCT(OFFSET(Loans!$D$28,MATCH($B63,Loans!$A$29:$A$40,0),0,1,20),Loans!$B$89:$U$89))-L63-K63-N63</f>
        <v>0</v>
      </c>
    </row>
    <row r="64" spans="1:46" hidden="1" x14ac:dyDescent="0.2">
      <c r="A64" s="3">
        <f t="shared" ref="A64:A65" si="33">A63+1</f>
        <v>3</v>
      </c>
      <c r="B64" s="3" t="str">
        <f>INDEX(Applicants!$E$25:$H$25,1,A64)</f>
        <v/>
      </c>
      <c r="C64" s="3" t="str">
        <f>IF(B64="","",INDEX($B$23:$B$34,B64))</f>
        <v/>
      </c>
      <c r="D64" s="89">
        <f>'Company Profit &amp; Loss'!W41</f>
        <v>0</v>
      </c>
      <c r="E64" s="99">
        <f ca="1">IF(Applicants!$J$5="Yes",IF(B64&lt;&gt;"",(SUM($F$69:$F$72)+SUM($F$76:$F$79))/COUNT($B$55:$B$65),0),SUMPRODUCT($F$69:$F$72,OFFSET(Applicants!$B$95,0,$A64,4,1))+SUMPRODUCT($F$76:$F$79,OFFSET(Applicants!$B$102,0,$A64,4,1)))</f>
        <v>0</v>
      </c>
      <c r="F64" s="90"/>
      <c r="G64" s="91">
        <f ca="1">D64+E64-F64</f>
        <v>0</v>
      </c>
      <c r="H64" s="92">
        <f ca="1">IF(Applicants!$J$5="Yes",IF($B64&lt;&gt;"",SUM('Properties &amp; Ind Income'!$E$3:$E$12)/COUNT($B$55:$B$79),0),SUMPRODUCT(OFFSET('Properties &amp; Ind Income'!$D$17,MATCH($B64,'Properties &amp; Ind Income'!$A$18:$A$29,0),0,1,10),'Properties &amp; Ind Income'!$D$44:$M$44))</f>
        <v>0</v>
      </c>
      <c r="I64" s="100"/>
      <c r="J64" s="89">
        <f ca="1">G64+H64+I64</f>
        <v>0</v>
      </c>
      <c r="K64" s="93">
        <f ca="1">IF(Applicants!$J$5="Yes",
    IF(B64&lt;&gt;"",
        (SUM(Loans!$B$60:$E$60)+SUM(Loans!$B$100:$U$100))/COUNT($B$55:$B$79),
        0),
    _xlfn.IFNA(SUMPRODUCT(OFFSET(Loans!$D$11,MATCH($B64,Loans!$A$12:$A$23,0),0,1,4),Loans!$B$60:$E$60),0)
    +SUMPRODUCT(OFFSET(Loans!$D$28,MATCH($B64,Loans!$A$29:$A$40,0),0,1,20),Loans!$B$100:$U$100))</f>
        <v>0</v>
      </c>
      <c r="L64" s="100"/>
      <c r="M64" s="89">
        <f ca="1">J64-SUM(K64:L64)</f>
        <v>0</v>
      </c>
      <c r="N64" s="89">
        <f ca="1">IF(Applicants!$J$5="Yes",IF(B64&lt;&gt;"",(SUM(Loans!$B$51:$E$51)+SUM(Loans!$B$64:$U$64))/COUNT($B$55:$B$79),0),_xlfn.IFNA(SUMPRODUCT(OFFSET(Loans!$D$11,MATCH($B64,Loans!$A$12:$A$23,0),0,1,4),Loans!$B$51:$E$51),0)+SUMPRODUCT(OFFSET(Loans!$D$28,MATCH($B64,Loans!$A$29:$A$40,0),0,1,20),Loans!$B$64:$U$64))-L64-K64</f>
        <v>0</v>
      </c>
      <c r="O64" s="89">
        <f ca="1">IF(Applicants!$J$5="Yes",IF(B64&lt;&gt;"",(SUM(Loans!$B$53:$E$53)+SUM(Loans!$B$66:$U$66))/COUNT($B$55:$B$79),0),_xlfn.IFNA(SUMPRODUCT(OFFSET(Loans!$D$11,MATCH($B64,Loans!$A$12:$A$23,0),0,1,4),Loans!$B$53:$E$53),0)+SUMPRODUCT(OFFSET(Loans!$D$28,MATCH($B64,Loans!$A$29:$A$40,0),0,1,20),Loans!$B$66:$U$66))-L64-K64-N64</f>
        <v>0</v>
      </c>
      <c r="P64" s="92">
        <f ca="1">MAX(T64*Assumptions!$B$2,0)</f>
        <v>0</v>
      </c>
      <c r="Q64" s="100"/>
      <c r="R64" s="89">
        <f ca="1">SUM(G64:I64)-SUM(K64:L64)-SUM(N64:Q64)</f>
        <v>0</v>
      </c>
      <c r="T64" s="101">
        <f ca="1">D64+H64-K64-'Company Profit &amp; Loss'!W35+SUMPRODUCT($T$69:$T$72,OFFSET(Applicants!$B$95,0,$A64,4,1))+SUMPRODUCT($T$76:$T$79,OFFSET(Applicants!$B$102,0,$A64,4,1))</f>
        <v>0</v>
      </c>
      <c r="U64" s="89">
        <f ca="1">IF(Applicants!$J$5="Yes",IF(B64&lt;&gt;"",(SUM(Loans!$B$52:$E$52)+SUM(Loans!$B$65:$U$65))/COUNT($B$55:$B$79),0),_xlfn.IFNA(SUMPRODUCT(OFFSET(Loans!$D$11,MATCH($B64,Loans!$A$12:$A$23,0),0,1,4),Loans!$B$52:$E$52,Loans!$B$54:$E$54),0)+SUMPRODUCT(OFFSET(Loans!$D$28,MATCH($B64,Loans!$A$29:$A$40,0),0,1,20),Loans!$B$65:$U$65,Loans!$B$67:$U$67)+_xlfn.IFNA(SUMPRODUCT(OFFSET(Loans!$D$11,MATCH($B64,Loans!$A$12:$A$23,0),0,1,4),Loans!$B$52:$E$52,Loans!$B$55:$E$55),0)+SUMPRODUCT(OFFSET(Loans!$D$28,MATCH($B64,Loans!$A$29:$A$40,0),0,1,20),Loans!$B$65:$U$65,Loans!$B$68:$U$68))</f>
        <v>0</v>
      </c>
      <c r="V64" s="89">
        <f ca="1">IF(Applicants!$J$5="Yes",IF(B64&lt;&gt;"",(SUM(Loans!$B$49:$E$49)+SUM(Loans!$B$62:$U$62))/COUNT(Serviceability!$B$55:$B$79),0),_xlfn.IFNA(SUMPRODUCT(OFFSET(Loans!$D$11,MATCH($B64,Loans!$A$12:$A$23,0),0,1,4),Loans!$B$49:$E$49),0)+SUMPRODUCT(OFFSET(Loans!$D$28,MATCH($B64,Loans!$A$29:$A$40,0),0,1,20),Loans!$B$62:$U$62))</f>
        <v>0</v>
      </c>
      <c r="W64" s="95">
        <f ca="1">_xlfn.IFNA(SUMPRODUCT(OFFSET(Loans!$D$11,MATCH($B64,Loans!$A$12:$A$23,0),0,1,4),Loans!$B$59:$E$59),0)</f>
        <v>0</v>
      </c>
      <c r="AK64" s="81">
        <f ca="1">IF(SUM(Applicants!D$37:D$40)=0,0,OFFSET($F$69,AK$54-1,0)*Applicants!D39/IF(OFFSET($F$69,AK$54-1,0)&lt;0,SUM(Applicants!D$27:D$40),1))</f>
        <v>0</v>
      </c>
      <c r="AL64" s="81">
        <f ca="1">IF(SUM(Applicants!E$37:E$40)=0,0,OFFSET($F$69,AL$54-1,0)*Applicants!E39/IF(OFFSET($F$69,AL$54-1,0)&lt;0,SUM(Applicants!E$27:E$40),1))</f>
        <v>0</v>
      </c>
      <c r="AM64" s="81">
        <f ca="1">IF(SUM(Applicants!F$37:F$40)=0,0,OFFSET($F$69,AM$54-1,0)*Applicants!F39/IF(OFFSET($F$69,AM$54-1,0)&lt;0,SUM(Applicants!F$27:F$40),1))</f>
        <v>0</v>
      </c>
      <c r="AN64" s="81">
        <f ca="1">IF(SUM(Applicants!G$37:G$40)=0,0,OFFSET($F$69,AN$54-1,0)*Applicants!G39/IF(OFFSET($F$69,AN$54-1,0)&lt;0,SUM(Applicants!G$27:G$40),1))</f>
        <v>0</v>
      </c>
      <c r="AO64" s="81">
        <f ca="1">IF(SUM(Applicants!H$37:H$40)=0,0,OFFSET($F$76,AO$54-1,0)*Applicants!H39/IF(OFFSET($F$76,AO$54-1,0)&lt;0,SUM(Applicants!H$37:H$40),1))</f>
        <v>0</v>
      </c>
      <c r="AP64" s="81">
        <f ca="1">IF(SUM(Applicants!I$37:I$40)=0,0,OFFSET($F$76,AP$54-1,0)*Applicants!I39/IF(OFFSET($F$76,AP$54-1,0)&lt;0,SUM(Applicants!I$37:I$40),1))</f>
        <v>0</v>
      </c>
      <c r="AQ64" s="81">
        <f ca="1">IF(SUM(Applicants!J$37:J$40)=0,0,OFFSET($F$76,AQ$54-1,0)*Applicants!J39/IF(OFFSET($F$76,AQ$54-1,0)&lt;0,SUM(Applicants!J$37:J$40),1))</f>
        <v>0</v>
      </c>
      <c r="AR64" s="81">
        <f ca="1">IF(SUM(Applicants!K$37:K$40)=0,0,OFFSET($F$76,AR$54-1,0)*Applicants!K39/IF(OFFSET($F$76,AR$54-1,0)&lt;0,SUM(Applicants!K$37:K$40),1))</f>
        <v>0</v>
      </c>
      <c r="AT64" s="91">
        <f ca="1">IF(Applicants!$J$5="Yes",IF(B64&lt;&gt;"",(SUM(Loans!$B$56:$E$56)+SUM(Loans!$B$89:$U$89))/COUNT($B$55:$B$79),0),_xlfn.IFNA(SUMPRODUCT(OFFSET(Loans!$D$11,MATCH($B64,Loans!$A$12:$A$23,0),0,1,4),Loans!$B$56:$E$56),0)+SUMPRODUCT(OFFSET(Loans!$D$28,MATCH($B64,Loans!$A$29:$A$40,0),0,1,20),Loans!$B$89:$U$89))-L64-K64-N64</f>
        <v>0</v>
      </c>
    </row>
    <row r="65" spans="1:46" hidden="1" x14ac:dyDescent="0.2">
      <c r="A65" s="3">
        <f t="shared" si="33"/>
        <v>4</v>
      </c>
      <c r="B65" s="3" t="str">
        <f>INDEX(Applicants!$E$25:$H$25,1,A65)</f>
        <v/>
      </c>
      <c r="C65" s="3" t="str">
        <f t="shared" ref="C65" si="34">IF(B65="","",INDEX($B$23:$B$34,B65))</f>
        <v/>
      </c>
      <c r="D65" s="89">
        <f>'Company Profit &amp; Loss'!AE41</f>
        <v>0</v>
      </c>
      <c r="E65" s="99">
        <f ca="1">IF(Applicants!$J$5="Yes",IF(B65&lt;&gt;"",(SUM($F$69:$F$72)+SUM($F$76:$F$79))/COUNT($B$55:$B$65),0),SUMPRODUCT($F$69:$F$72,OFFSET(Applicants!$B$95,0,$A65,4,1))+SUMPRODUCT($F$76:$F$79,OFFSET(Applicants!$B$102,0,$A65,4,1)))</f>
        <v>0</v>
      </c>
      <c r="F65" s="90"/>
      <c r="G65" s="91">
        <f ca="1">D65+E65-F65</f>
        <v>0</v>
      </c>
      <c r="H65" s="92">
        <f ca="1">IF(Applicants!$J$5="Yes",IF($B65&lt;&gt;"",SUM('Properties &amp; Ind Income'!$E$3:$E$12)/COUNT($B$55:$B$79),0),SUMPRODUCT(OFFSET('Properties &amp; Ind Income'!$D$17,MATCH($B65,'Properties &amp; Ind Income'!$A$18:$A$29,0),0,1,10),'Properties &amp; Ind Income'!$D$44:$M$44))</f>
        <v>0</v>
      </c>
      <c r="I65" s="100"/>
      <c r="J65" s="89">
        <f ca="1">G65+H65+I65</f>
        <v>0</v>
      </c>
      <c r="K65" s="93">
        <f ca="1">IF(Applicants!$J$5="Yes",
    IF(B65&lt;&gt;"",
        (SUM(Loans!$B$60:$E$60)+SUM(Loans!$B$100:$U$100))/COUNT($B$55:$B$79),
        0),
    _xlfn.IFNA(SUMPRODUCT(OFFSET(Loans!$D$11,MATCH($B65,Loans!$A$12:$A$23,0),0,1,4),Loans!$B$60:$E$60),0)
    +SUMPRODUCT(OFFSET(Loans!$D$28,MATCH($B65,Loans!$A$29:$A$40,0),0,1,20),Loans!$B$100:$U$100))</f>
        <v>0</v>
      </c>
      <c r="L65" s="100"/>
      <c r="M65" s="89">
        <f ca="1">J65-SUM(K65:L65)</f>
        <v>0</v>
      </c>
      <c r="N65" s="89">
        <f ca="1">IF(Applicants!$J$5="Yes",IF(B65&lt;&gt;"",(SUM(Loans!$B$51:$E$51)+SUM(Loans!$B$64:$U$64))/COUNT($B$55:$B$79),0),_xlfn.IFNA(SUMPRODUCT(OFFSET(Loans!$D$11,MATCH($B65,Loans!$A$12:$A$23,0),0,1,4),Loans!$B$51:$E$51),0)+SUMPRODUCT(OFFSET(Loans!$D$28,MATCH($B65,Loans!$A$29:$A$40,0),0,1,20),Loans!$B$64:$U$64))-L65-K65</f>
        <v>0</v>
      </c>
      <c r="O65" s="89">
        <f ca="1">IF(Applicants!$J$5="Yes",IF(B65&lt;&gt;"",(SUM(Loans!$B$53:$E$53)+SUM(Loans!$B$66:$U$66))/COUNT($B$55:$B$79),0),_xlfn.IFNA(SUMPRODUCT(OFFSET(Loans!$D$11,MATCH($B65,Loans!$A$12:$A$23,0),0,1,4),Loans!$B$53:$E$53),0)+SUMPRODUCT(OFFSET(Loans!$D$28,MATCH($B65,Loans!$A$29:$A$40,0),0,1,20),Loans!$B$66:$U$66))-L65-K65-N65</f>
        <v>0</v>
      </c>
      <c r="P65" s="92">
        <f ca="1">MAX(T65*Assumptions!$B$2,0)</f>
        <v>0</v>
      </c>
      <c r="Q65" s="100"/>
      <c r="R65" s="89">
        <f ca="1">SUM(G65:I65)-SUM(K65:L65)-SUM(N65:Q65)</f>
        <v>0</v>
      </c>
      <c r="T65" s="101">
        <f ca="1">D65+H65-K65-'Company Profit &amp; Loss'!AE35+SUMPRODUCT($T$69:$T$72,OFFSET(Applicants!$B$95,0,$A65,4,1))+SUMPRODUCT($T$76:$T$79,OFFSET(Applicants!$B$102,0,$A65,4,1))</f>
        <v>0</v>
      </c>
      <c r="U65" s="89">
        <f ca="1">IF(Applicants!$J$5="Yes",IF(B65&lt;&gt;"",(SUM(Loans!$B$52:$E$52)+SUM(Loans!$B$65:$U$65))/COUNT($B$55:$B$79),0),_xlfn.IFNA(SUMPRODUCT(OFFSET(Loans!$D$11,MATCH($B65,Loans!$A$12:$A$23,0),0,1,4),Loans!$B$52:$E$52,Loans!$B$54:$E$54),0)+SUMPRODUCT(OFFSET(Loans!$D$28,MATCH($B65,Loans!$A$29:$A$40,0),0,1,20),Loans!$B$65:$U$65,Loans!$B$67:$U$67)+_xlfn.IFNA(SUMPRODUCT(OFFSET(Loans!$D$11,MATCH($B65,Loans!$A$12:$A$23,0),0,1,4),Loans!$B$52:$E$52,Loans!$B$55:$E$55),0)+SUMPRODUCT(OFFSET(Loans!$D$28,MATCH($B65,Loans!$A$29:$A$40,0),0,1,20),Loans!$B$65:$U$65,Loans!$B$68:$U$68))</f>
        <v>0</v>
      </c>
      <c r="V65" s="89">
        <f ca="1">IF(Applicants!$J$5="Yes",IF(B65&lt;&gt;"",(SUM(Loans!$B$49:$E$49)+SUM(Loans!$B$62:$U$62))/COUNT(Serviceability!$B$55:$B$79),0),_xlfn.IFNA(SUMPRODUCT(OFFSET(Loans!$D$11,MATCH($B65,Loans!$A$12:$A$23,0),0,1,4),Loans!$B$49:$E$49),0)+SUMPRODUCT(OFFSET(Loans!$D$28,MATCH($B65,Loans!$A$29:$A$40,0),0,1,20),Loans!$B$62:$U$62))</f>
        <v>0</v>
      </c>
      <c r="W65" s="95">
        <f ca="1">_xlfn.IFNA(SUMPRODUCT(OFFSET(Loans!$D$11,MATCH($B65,Loans!$A$12:$A$23,0),0,1,4),Loans!$B$59:$E$59),0)</f>
        <v>0</v>
      </c>
      <c r="AK65" s="81">
        <f ca="1">IF(SUM(Applicants!D$37:D$40)=0,0,OFFSET($F$69,AK$54-1,0)*Applicants!D40/IF(OFFSET($F$69,AK$54-1,0)&lt;0,SUM(Applicants!D$27:D$40),1))</f>
        <v>0</v>
      </c>
      <c r="AL65" s="81">
        <f ca="1">IF(SUM(Applicants!E$37:E$40)=0,0,OFFSET($F$69,AL$54-1,0)*Applicants!E40/IF(OFFSET($F$69,AL$54-1,0)&lt;0,SUM(Applicants!E$27:E$40),1))</f>
        <v>0</v>
      </c>
      <c r="AM65" s="81">
        <f ca="1">IF(SUM(Applicants!F$37:F$40)=0,0,OFFSET($F$69,AM$54-1,0)*Applicants!F40/IF(OFFSET($F$69,AM$54-1,0)&lt;0,SUM(Applicants!F$27:F$40),1))</f>
        <v>0</v>
      </c>
      <c r="AN65" s="81">
        <f ca="1">IF(SUM(Applicants!G$37:G$40)=0,0,OFFSET($F$69,AN$54-1,0)*Applicants!G40/IF(OFFSET($F$69,AN$54-1,0)&lt;0,SUM(Applicants!G$27:G$40),1))</f>
        <v>0</v>
      </c>
      <c r="AO65" s="81">
        <f ca="1">IF(SUM(Applicants!H$37:H$40)=0,0,OFFSET($F$76,AO$54-1,0)*Applicants!H40/IF(OFFSET($F$76,AO$54-1,0)&lt;0,SUM(Applicants!H$37:H$40),1))</f>
        <v>0</v>
      </c>
      <c r="AP65" s="81">
        <f ca="1">IF(SUM(Applicants!I$37:I$40)=0,0,OFFSET($F$76,AP$54-1,0)*Applicants!I40/IF(OFFSET($F$76,AP$54-1,0)&lt;0,SUM(Applicants!I$37:I$40),1))</f>
        <v>0</v>
      </c>
      <c r="AQ65" s="81">
        <f ca="1">IF(SUM(Applicants!J$37:J$40)=0,0,OFFSET($F$76,AQ$54-1,0)*Applicants!J40/IF(OFFSET($F$76,AQ$54-1,0)&lt;0,SUM(Applicants!J$37:J$40),1))</f>
        <v>0</v>
      </c>
      <c r="AR65" s="81">
        <f ca="1">IF(SUM(Applicants!K$37:K$40)=0,0,OFFSET($F$76,AR$54-1,0)*Applicants!K40/IF(OFFSET($F$76,AR$54-1,0)&lt;0,SUM(Applicants!K$37:K$40),1))</f>
        <v>0</v>
      </c>
      <c r="AT65" s="91">
        <f ca="1">IF(Applicants!$J$5="Yes",IF(B65&lt;&gt;"",(SUM(Loans!$B$56:$E$56)+SUM(Loans!$B$89:$U$89))/COUNT($B$55:$B$79),0),_xlfn.IFNA(SUMPRODUCT(OFFSET(Loans!$D$11,MATCH($B65,Loans!$A$12:$A$23,0),0,1,4),Loans!$B$56:$E$56),0)+SUMPRODUCT(OFFSET(Loans!$D$28,MATCH($B65,Loans!$A$29:$A$40,0),0,1,20),Loans!$B$89:$U$89))-L65-K65-N65</f>
        <v>0</v>
      </c>
    </row>
    <row r="66" spans="1:46" hidden="1" x14ac:dyDescent="0.2">
      <c r="D66" s="89"/>
      <c r="E66" s="89"/>
      <c r="F66" s="99"/>
      <c r="G66" s="91"/>
      <c r="H66" s="92"/>
      <c r="I66" s="99"/>
      <c r="J66" s="89"/>
      <c r="K66" s="93"/>
      <c r="L66" s="100"/>
      <c r="M66" s="99"/>
      <c r="N66" s="89"/>
      <c r="O66" s="89"/>
      <c r="P66" s="92"/>
      <c r="Q66" s="99"/>
      <c r="R66" s="89"/>
      <c r="T66" s="92"/>
      <c r="U66" s="89"/>
      <c r="V66" s="89"/>
      <c r="W66" s="4"/>
      <c r="AT66" s="91"/>
    </row>
    <row r="67" spans="1:46" hidden="1" x14ac:dyDescent="0.2">
      <c r="D67" s="89"/>
      <c r="E67" s="89"/>
      <c r="F67" s="99"/>
      <c r="G67" s="91"/>
      <c r="H67" s="92"/>
      <c r="I67" s="99"/>
      <c r="J67" s="89"/>
      <c r="K67" s="93"/>
      <c r="L67" s="100"/>
      <c r="M67" s="99"/>
      <c r="N67" s="89"/>
      <c r="O67" s="89"/>
      <c r="P67" s="89"/>
      <c r="Q67" s="99"/>
      <c r="R67" s="89"/>
      <c r="T67" s="92"/>
      <c r="U67" s="89"/>
      <c r="V67" s="89"/>
      <c r="W67" s="4"/>
      <c r="AT67" s="91"/>
    </row>
    <row r="68" spans="1:46" hidden="1" x14ac:dyDescent="0.2">
      <c r="A68" s="3" t="s">
        <v>60</v>
      </c>
      <c r="D68" s="89"/>
      <c r="E68" s="89"/>
      <c r="F68" s="99"/>
      <c r="G68" s="91"/>
      <c r="H68" s="92"/>
      <c r="I68" s="99"/>
      <c r="J68" s="89"/>
      <c r="K68" s="93"/>
      <c r="L68" s="100"/>
      <c r="M68" s="99"/>
      <c r="N68" s="89"/>
      <c r="O68" s="89"/>
      <c r="P68" s="89"/>
      <c r="Q68" s="99"/>
      <c r="R68" s="89"/>
      <c r="T68" s="92"/>
      <c r="U68" s="89"/>
      <c r="V68" s="89"/>
      <c r="W68" s="4"/>
      <c r="AT68" s="91"/>
    </row>
    <row r="69" spans="1:46" hidden="1" x14ac:dyDescent="0.2">
      <c r="A69" s="3">
        <v>1</v>
      </c>
      <c r="B69" s="3" t="str">
        <f>INDEX(Applicants!$I$25:$L$25,1,A69)</f>
        <v/>
      </c>
      <c r="C69" s="3" t="str">
        <f t="shared" ref="C69:C72" si="35">IF(B69="","",INDEX($B$23:$B$34,B69))</f>
        <v/>
      </c>
      <c r="D69" s="89">
        <f>'Partnership Profit &amp; Loss'!G41</f>
        <v>0</v>
      </c>
      <c r="E69" s="100"/>
      <c r="F69" s="99">
        <f ca="1">D69+H69-K69-N69-O69</f>
        <v>0</v>
      </c>
      <c r="G69" s="91">
        <f ca="1">D69+E69-F69</f>
        <v>0</v>
      </c>
      <c r="H69" s="92">
        <f ca="1">IF(Applicants!$J$5="Yes",IF($B69&lt;&gt;"",SUM('Properties &amp; Ind Income'!$E$3:$E$12)/COUNT($B$55:$B$79),0),SUMPRODUCT(OFFSET('Properties &amp; Ind Income'!$D$17,MATCH($B69,'Properties &amp; Ind Income'!$A$18:$A$29,0),0,1,10),'Properties &amp; Ind Income'!$D$44:$M$44))</f>
        <v>0</v>
      </c>
      <c r="I69" s="100"/>
      <c r="J69" s="89">
        <f ca="1">G69+H69+I69</f>
        <v>0</v>
      </c>
      <c r="K69" s="93">
        <f ca="1">IF(Applicants!$J$5="Yes",
    IF(B69&lt;&gt;"",
        (SUM(Loans!$B$60:$E$60)+SUM(Loans!$B$100:$U$100))/COUNT($B$55:$B$79),
        0),
    _xlfn.IFNA(SUMPRODUCT(OFFSET(Loans!$D$11,MATCH($B69,Loans!$A$12:$A$23,0),0,1,4),Loans!$B$60:$E$60),0)
    +SUMPRODUCT(OFFSET(Loans!$D$28,MATCH($B69,Loans!$A$29:$A$40,0),0,1,20),Loans!$B$100:$U$100))</f>
        <v>0</v>
      </c>
      <c r="L69" s="100"/>
      <c r="M69" s="89">
        <f ca="1">J69-SUM(K69:L69)</f>
        <v>0</v>
      </c>
      <c r="N69" s="89">
        <f ca="1">IF(Applicants!$J$5="Yes",IF(B69&lt;&gt;"",(SUM(Loans!$B$51:$E$51)+SUM(Loans!$B$64:$U$64))/COUNT($B$55:$B$79),0),_xlfn.IFNA(SUMPRODUCT(OFFSET(Loans!$D$11,MATCH($B69,Loans!$A$12:$A$23,0),0,1,4),Loans!$B$51:$E$51),0)+SUMPRODUCT(OFFSET(Loans!$D$28,MATCH($B69,Loans!$A$29:$A$40,0),0,1,20),Loans!$B$64:$U$64))-L69-K69</f>
        <v>0</v>
      </c>
      <c r="O69" s="89">
        <f ca="1">IF(Applicants!$J$5="Yes",IF(B69&lt;&gt;"",(SUM(Loans!$B$53:$E$53)+SUM(Loans!$B$66:$U$66))/COUNT($B$55:$B$79),0),_xlfn.IFNA(SUMPRODUCT(OFFSET(Loans!$D$11,MATCH($B69,Loans!$A$12:$A$23,0),0,1,4),Loans!$B$53:$E$53),0)+SUMPRODUCT(OFFSET(Loans!$D$28,MATCH($B69,Loans!$A$29:$A$40,0),0,1,20),Loans!$B$66:$U$66))-L69-K69-N69</f>
        <v>0</v>
      </c>
      <c r="P69" s="100"/>
      <c r="Q69" s="100"/>
      <c r="R69" s="89">
        <f ca="1">SUM(G69:I69)-SUM(K69:L69)-SUM(N69:Q69)</f>
        <v>0</v>
      </c>
      <c r="T69" s="92">
        <f ca="1">D69+H69-K69-'Partnership Profit &amp; Loss'!G$35</f>
        <v>0</v>
      </c>
      <c r="U69" s="89">
        <f ca="1">IF(Applicants!$J$5="Yes",IF(B69&lt;&gt;"",(SUM(Loans!$B$52:$E$52)+SUM(Loans!$B$65:$U$65))/COUNT($B$55:$B$79),0),_xlfn.IFNA(SUMPRODUCT(OFFSET(Loans!$D$11,MATCH($B69,Loans!$A$12:$A$23,0),0,1,4),Loans!$B$52:$E$52,Loans!$B$54:$E$54),0)+SUMPRODUCT(OFFSET(Loans!$D$28,MATCH($B69,Loans!$A$29:$A$40,0),0,1,20),Loans!$B$65:$U$65,Loans!$B$67:$U$67)+_xlfn.IFNA(SUMPRODUCT(OFFSET(Loans!$D$11,MATCH($B69,Loans!$A$12:$A$23,0),0,1,4),Loans!$B$52:$E$52,Loans!$B$55:$E$55),0)+SUMPRODUCT(OFFSET(Loans!$D$28,MATCH($B69,Loans!$A$29:$A$40,0),0,1,20),Loans!$B$65:$U$65,Loans!$B$68:$U$68))</f>
        <v>0</v>
      </c>
      <c r="V69" s="89">
        <f ca="1">IF(Applicants!$J$5="Yes",IF(B69&lt;&gt;"",(SUM(Loans!$B$49:$E$49)+SUM(Loans!$B$62:$U$62))/COUNT(Serviceability!$B$55:$B$79),0),_xlfn.IFNA(SUMPRODUCT(OFFSET(Loans!$D$11,MATCH($B69,Loans!$A$12:$A$23,0),0,1,4),Loans!$B$49:$E$49),0)+SUMPRODUCT(OFFSET(Loans!$D$28,MATCH($B69,Loans!$A$29:$A$40,0),0,1,20),Loans!$B$62:$U$62))</f>
        <v>0</v>
      </c>
      <c r="W69" s="95">
        <f ca="1">_xlfn.IFNA(SUMPRODUCT(OFFSET(Loans!$D$11,MATCH($B69,Loans!$A$12:$A$23,0),0,1,4),Loans!$B$59:$E$59),0)</f>
        <v>0</v>
      </c>
      <c r="AT69" s="91">
        <f ca="1">IF(Applicants!$J$5="Yes",IF(B69&lt;&gt;"",(SUM(Loans!$B$56:$E$56)+SUM(Loans!$B$89:$U$89))/COUNT($B$55:$B$79),0),_xlfn.IFNA(SUMPRODUCT(OFFSET(Loans!$D$11,MATCH($B69,Loans!$A$12:$A$23,0),0,1,4),Loans!$B$56:$E$56),0)+SUMPRODUCT(OFFSET(Loans!$D$28,MATCH($B69,Loans!$A$29:$A$40,0),0,1,20),Loans!$B$89:$U$89))-L69-K69-N69</f>
        <v>0</v>
      </c>
    </row>
    <row r="70" spans="1:46" hidden="1" x14ac:dyDescent="0.2">
      <c r="A70" s="3">
        <f>A69+1</f>
        <v>2</v>
      </c>
      <c r="B70" s="3" t="str">
        <f>INDEX(Applicants!$I$25:$L$25,1,A70)</f>
        <v/>
      </c>
      <c r="C70" s="3" t="str">
        <f t="shared" si="35"/>
        <v/>
      </c>
      <c r="D70" s="89">
        <f>'Partnership Profit &amp; Loss'!O41</f>
        <v>0</v>
      </c>
      <c r="E70" s="100"/>
      <c r="F70" s="99">
        <f ca="1">D70+H70-K70-N70-O70</f>
        <v>0</v>
      </c>
      <c r="G70" s="91">
        <f ca="1">D70+E70-F70</f>
        <v>0</v>
      </c>
      <c r="H70" s="92">
        <f ca="1">IF(Applicants!$J$5="Yes",IF($B70&lt;&gt;"",SUM('Properties &amp; Ind Income'!$E$3:$E$12)/COUNT($B$55:$B$79),0),SUMPRODUCT(OFFSET('Properties &amp; Ind Income'!$D$17,MATCH($B70,'Properties &amp; Ind Income'!$A$18:$A$29,0),0,1,10),'Properties &amp; Ind Income'!$D$44:$M$44))</f>
        <v>0</v>
      </c>
      <c r="I70" s="100"/>
      <c r="J70" s="89">
        <f ca="1">G70+H70+I70</f>
        <v>0</v>
      </c>
      <c r="K70" s="93">
        <f ca="1">IF(Applicants!$J$5="Yes",
    IF(B70&lt;&gt;"",
        (SUM(Loans!$B$60:$E$60)+SUM(Loans!$B$100:$U$100))/COUNT($B$55:$B$79),
        0),
    _xlfn.IFNA(SUMPRODUCT(OFFSET(Loans!$D$11,MATCH($B70,Loans!$A$12:$A$23,0),0,1,4),Loans!$B$60:$E$60),0)
    +SUMPRODUCT(OFFSET(Loans!$D$28,MATCH($B70,Loans!$A$29:$A$40,0),0,1,20),Loans!$B$100:$U$100))</f>
        <v>0</v>
      </c>
      <c r="L70" s="100"/>
      <c r="M70" s="89">
        <f ca="1">J70-SUM(K70:L70)</f>
        <v>0</v>
      </c>
      <c r="N70" s="89">
        <f ca="1">IF(Applicants!$J$5="Yes",IF(B70&lt;&gt;"",(SUM(Loans!$B$51:$E$51)+SUM(Loans!$B$64:$U$64))/COUNT($B$55:$B$79),0),_xlfn.IFNA(SUMPRODUCT(OFFSET(Loans!$D$11,MATCH($B70,Loans!$A$12:$A$23,0),0,1,4),Loans!$B$51:$E$51),0)+SUMPRODUCT(OFFSET(Loans!$D$28,MATCH($B70,Loans!$A$29:$A$40,0),0,1,20),Loans!$B$64:$U$64))-L70-K70</f>
        <v>0</v>
      </c>
      <c r="O70" s="89">
        <f ca="1">IF(Applicants!$J$5="Yes",IF(B70&lt;&gt;"",(SUM(Loans!$B$53:$E$53)+SUM(Loans!$B$66:$U$66))/COUNT($B$55:$B$79),0),_xlfn.IFNA(SUMPRODUCT(OFFSET(Loans!$D$11,MATCH($B70,Loans!$A$12:$A$23,0),0,1,4),Loans!$B$53:$E$53),0)+SUMPRODUCT(OFFSET(Loans!$D$28,MATCH($B70,Loans!$A$29:$A$40,0),0,1,20),Loans!$B$66:$U$66))-L70-K70-N70</f>
        <v>0</v>
      </c>
      <c r="P70" s="100"/>
      <c r="Q70" s="100"/>
      <c r="R70" s="89">
        <f ca="1">SUM(G70:I70)-SUM(K70:L70)-SUM(N70:Q70)</f>
        <v>0</v>
      </c>
      <c r="T70" s="92">
        <f ca="1">D70+H70-K70-'Partnership Profit &amp; Loss'!O$35</f>
        <v>0</v>
      </c>
      <c r="U70" s="89">
        <f ca="1">IF(Applicants!$J$5="Yes",IF(B70&lt;&gt;"",(SUM(Loans!$B$52:$E$52)+SUM(Loans!$B$65:$U$65))/COUNT($B$55:$B$79),0),_xlfn.IFNA(SUMPRODUCT(OFFSET(Loans!$D$11,MATCH($B70,Loans!$A$12:$A$23,0),0,1,4),Loans!$B$52:$E$52,Loans!$B$54:$E$54),0)+SUMPRODUCT(OFFSET(Loans!$D$28,MATCH($B70,Loans!$A$29:$A$40,0),0,1,20),Loans!$B$65:$U$65,Loans!$B$67:$U$67)+_xlfn.IFNA(SUMPRODUCT(OFFSET(Loans!$D$11,MATCH($B70,Loans!$A$12:$A$23,0),0,1,4),Loans!$B$52:$E$52,Loans!$B$55:$E$55),0)+SUMPRODUCT(OFFSET(Loans!$D$28,MATCH($B70,Loans!$A$29:$A$40,0),0,1,20),Loans!$B$65:$U$65,Loans!$B$68:$U$68))</f>
        <v>0</v>
      </c>
      <c r="V70" s="89">
        <f ca="1">IF(Applicants!$J$5="Yes",IF(B70&lt;&gt;"",(SUM(Loans!$B$49:$E$49)+SUM(Loans!$B$62:$U$62))/COUNT(Serviceability!$B$55:$B$79),0),_xlfn.IFNA(SUMPRODUCT(OFFSET(Loans!$D$11,MATCH($B70,Loans!$A$12:$A$23,0),0,1,4),Loans!$B$49:$E$49),0)+SUMPRODUCT(OFFSET(Loans!$D$28,MATCH($B70,Loans!$A$29:$A$40,0),0,1,20),Loans!$B$62:$U$62))</f>
        <v>0</v>
      </c>
      <c r="W70" s="95">
        <f ca="1">_xlfn.IFNA(SUMPRODUCT(OFFSET(Loans!$D$11,MATCH($B70,Loans!$A$12:$A$23,0),0,1,4),Loans!$B$59:$E$59),0)</f>
        <v>0</v>
      </c>
      <c r="AT70" s="91">
        <f ca="1">IF(Applicants!$J$5="Yes",IF(B70&lt;&gt;"",(SUM(Loans!$B$56:$E$56)+SUM(Loans!$B$89:$U$89))/COUNT($B$55:$B$79),0),_xlfn.IFNA(SUMPRODUCT(OFFSET(Loans!$D$11,MATCH($B70,Loans!$A$12:$A$23,0),0,1,4),Loans!$B$56:$E$56),0)+SUMPRODUCT(OFFSET(Loans!$D$28,MATCH($B70,Loans!$A$29:$A$40,0),0,1,20),Loans!$B$89:$U$89))-L70-K70-N70</f>
        <v>0</v>
      </c>
    </row>
    <row r="71" spans="1:46" hidden="1" x14ac:dyDescent="0.2">
      <c r="A71" s="3">
        <f t="shared" ref="A71:A72" si="36">A70+1</f>
        <v>3</v>
      </c>
      <c r="B71" s="3" t="str">
        <f>INDEX(Applicants!$I$25:$L$25,1,A71)</f>
        <v/>
      </c>
      <c r="C71" s="3" t="str">
        <f t="shared" si="35"/>
        <v/>
      </c>
      <c r="D71" s="89">
        <f>'Partnership Profit &amp; Loss'!W41</f>
        <v>0</v>
      </c>
      <c r="E71" s="100"/>
      <c r="F71" s="99">
        <f ca="1">D71+H71-K71-N71-O71</f>
        <v>0</v>
      </c>
      <c r="G71" s="91">
        <f ca="1">D71+E71-F71</f>
        <v>0</v>
      </c>
      <c r="H71" s="92">
        <f ca="1">IF(Applicants!$J$5="Yes",IF($B71&lt;&gt;"",SUM('Properties &amp; Ind Income'!$E$3:$E$12)/COUNT($B$55:$B$79),0),SUMPRODUCT(OFFSET('Properties &amp; Ind Income'!$D$17,MATCH($B71,'Properties &amp; Ind Income'!$A$18:$A$29,0),0,1,10),'Properties &amp; Ind Income'!$D$44:$M$44))</f>
        <v>0</v>
      </c>
      <c r="I71" s="100"/>
      <c r="J71" s="89">
        <f ca="1">G71+H71+I71</f>
        <v>0</v>
      </c>
      <c r="K71" s="93">
        <f ca="1">IF(Applicants!$J$5="Yes",
    IF(B71&lt;&gt;"",
        (SUM(Loans!$B$60:$E$60)+SUM(Loans!$B$100:$U$100))/COUNT($B$55:$B$79),
        0),
    _xlfn.IFNA(SUMPRODUCT(OFFSET(Loans!$D$11,MATCH($B71,Loans!$A$12:$A$23,0),0,1,4),Loans!$B$60:$E$60),0)
    +SUMPRODUCT(OFFSET(Loans!$D$28,MATCH($B71,Loans!$A$29:$A$40,0),0,1,20),Loans!$B$100:$U$100))</f>
        <v>0</v>
      </c>
      <c r="L71" s="100"/>
      <c r="M71" s="89">
        <f ca="1">J71-SUM(K71:L71)</f>
        <v>0</v>
      </c>
      <c r="N71" s="89">
        <f ca="1">IF(Applicants!$J$5="Yes",IF(B71&lt;&gt;"",(SUM(Loans!$B$51:$E$51)+SUM(Loans!$B$64:$U$64))/COUNT($B$55:$B$79),0),_xlfn.IFNA(SUMPRODUCT(OFFSET(Loans!$D$11,MATCH($B71,Loans!$A$12:$A$23,0),0,1,4),Loans!$B$51:$E$51),0)+SUMPRODUCT(OFFSET(Loans!$D$28,MATCH($B71,Loans!$A$29:$A$40,0),0,1,20),Loans!$B$64:$U$64))-L71-K71</f>
        <v>0</v>
      </c>
      <c r="O71" s="89">
        <f ca="1">IF(Applicants!$J$5="Yes",IF(B71&lt;&gt;"",(SUM(Loans!$B$53:$E$53)+SUM(Loans!$B$66:$U$66))/COUNT($B$55:$B$79),0),_xlfn.IFNA(SUMPRODUCT(OFFSET(Loans!$D$11,MATCH($B71,Loans!$A$12:$A$23,0),0,1,4),Loans!$B$53:$E$53),0)+SUMPRODUCT(OFFSET(Loans!$D$28,MATCH($B71,Loans!$A$29:$A$40,0),0,1,20),Loans!$B$66:$U$66))-L71-K71-N71</f>
        <v>0</v>
      </c>
      <c r="P71" s="100"/>
      <c r="Q71" s="100"/>
      <c r="R71" s="89">
        <f ca="1">SUM(G71:I71)-SUM(K71:L71)-SUM(N71:Q71)</f>
        <v>0</v>
      </c>
      <c r="T71" s="92">
        <f ca="1">D71+H71-K71-'Partnership Profit &amp; Loss'!W$35</f>
        <v>0</v>
      </c>
      <c r="U71" s="89">
        <f ca="1">IF(Applicants!$J$5="Yes",IF(B71&lt;&gt;"",(SUM(Loans!$B$52:$E$52)+SUM(Loans!$B$65:$U$65))/COUNT($B$55:$B$79),0),_xlfn.IFNA(SUMPRODUCT(OFFSET(Loans!$D$11,MATCH($B71,Loans!$A$12:$A$23,0),0,1,4),Loans!$B$52:$E$52,Loans!$B$54:$E$54),0)+SUMPRODUCT(OFFSET(Loans!$D$28,MATCH($B71,Loans!$A$29:$A$40,0),0,1,20),Loans!$B$65:$U$65,Loans!$B$67:$U$67)+_xlfn.IFNA(SUMPRODUCT(OFFSET(Loans!$D$11,MATCH($B71,Loans!$A$12:$A$23,0),0,1,4),Loans!$B$52:$E$52,Loans!$B$55:$E$55),0)+SUMPRODUCT(OFFSET(Loans!$D$28,MATCH($B71,Loans!$A$29:$A$40,0),0,1,20),Loans!$B$65:$U$65,Loans!$B$68:$U$68))</f>
        <v>0</v>
      </c>
      <c r="V71" s="89">
        <f ca="1">IF(Applicants!$J$5="Yes",IF(B71&lt;&gt;"",(SUM(Loans!$B$49:$E$49)+SUM(Loans!$B$62:$U$62))/COUNT(Serviceability!$B$55:$B$79),0),_xlfn.IFNA(SUMPRODUCT(OFFSET(Loans!$D$11,MATCH($B71,Loans!$A$12:$A$23,0),0,1,4),Loans!$B$49:$E$49),0)+SUMPRODUCT(OFFSET(Loans!$D$28,MATCH($B71,Loans!$A$29:$A$40,0),0,1,20),Loans!$B$62:$U$62))</f>
        <v>0</v>
      </c>
      <c r="W71" s="95">
        <f ca="1">_xlfn.IFNA(SUMPRODUCT(OFFSET(Loans!$D$11,MATCH($B71,Loans!$A$12:$A$23,0),0,1,4),Loans!$B$59:$E$59),0)</f>
        <v>0</v>
      </c>
      <c r="AT71" s="91">
        <f ca="1">IF(Applicants!$J$5="Yes",IF(B71&lt;&gt;"",(SUM(Loans!$B$56:$E$56)+SUM(Loans!$B$89:$U$89))/COUNT($B$55:$B$79),0),_xlfn.IFNA(SUMPRODUCT(OFFSET(Loans!$D$11,MATCH($B71,Loans!$A$12:$A$23,0),0,1,4),Loans!$B$56:$E$56),0)+SUMPRODUCT(OFFSET(Loans!$D$28,MATCH($B71,Loans!$A$29:$A$40,0),0,1,20),Loans!$B$89:$U$89))-L71-K71-N71</f>
        <v>0</v>
      </c>
    </row>
    <row r="72" spans="1:46" hidden="1" x14ac:dyDescent="0.2">
      <c r="A72" s="3">
        <f t="shared" si="36"/>
        <v>4</v>
      </c>
      <c r="B72" s="3" t="str">
        <f>INDEX(Applicants!$I$25:$L$25,1,A72)</f>
        <v/>
      </c>
      <c r="C72" s="3" t="str">
        <f t="shared" si="35"/>
        <v/>
      </c>
      <c r="D72" s="89">
        <f>'Partnership Profit &amp; Loss'!AE41</f>
        <v>0</v>
      </c>
      <c r="E72" s="100"/>
      <c r="F72" s="99">
        <f ca="1">D72+H72-K72-N72-O72</f>
        <v>0</v>
      </c>
      <c r="G72" s="91">
        <f ca="1">D72+E72-F72</f>
        <v>0</v>
      </c>
      <c r="H72" s="92">
        <f ca="1">IF(Applicants!$J$5="Yes",IF($B72&lt;&gt;"",SUM('Properties &amp; Ind Income'!$E$3:$E$12)/COUNT($B$55:$B$79),0),SUMPRODUCT(OFFSET('Properties &amp; Ind Income'!$D$17,MATCH($B72,'Properties &amp; Ind Income'!$A$18:$A$29,0),0,1,10),'Properties &amp; Ind Income'!$D$44:$M$44))</f>
        <v>0</v>
      </c>
      <c r="I72" s="100"/>
      <c r="J72" s="89">
        <f ca="1">G72+H72+I72</f>
        <v>0</v>
      </c>
      <c r="K72" s="93">
        <f ca="1">IF(Applicants!$J$5="Yes",
    IF(B72&lt;&gt;"",
        (SUM(Loans!$B$60:$E$60)+SUM(Loans!$B$100:$U$100))/COUNT($B$55:$B$79),
        0),
    _xlfn.IFNA(SUMPRODUCT(OFFSET(Loans!$D$11,MATCH($B72,Loans!$A$12:$A$23,0),0,1,4),Loans!$B$60:$E$60),0)
    +SUMPRODUCT(OFFSET(Loans!$D$28,MATCH($B72,Loans!$A$29:$A$40,0),0,1,20),Loans!$B$100:$U$100))</f>
        <v>0</v>
      </c>
      <c r="L72" s="100"/>
      <c r="M72" s="89">
        <f ca="1">J72-SUM(K72:L72)</f>
        <v>0</v>
      </c>
      <c r="N72" s="89">
        <f ca="1">IF(Applicants!$J$5="Yes",IF(B72&lt;&gt;"",(SUM(Loans!$B$51:$E$51)+SUM(Loans!$B$64:$U$64))/COUNT($B$55:$B$79),0),_xlfn.IFNA(SUMPRODUCT(OFFSET(Loans!$D$11,MATCH($B72,Loans!$A$12:$A$23,0),0,1,4),Loans!$B$51:$E$51),0)+SUMPRODUCT(OFFSET(Loans!$D$28,MATCH($B72,Loans!$A$29:$A$40,0),0,1,20),Loans!$B$64:$U$64))-L72-K72</f>
        <v>0</v>
      </c>
      <c r="O72" s="89">
        <f ca="1">IF(Applicants!$J$5="Yes",IF(B72&lt;&gt;"",(SUM(Loans!$B$53:$E$53)+SUM(Loans!$B$66:$U$66))/COUNT($B$55:$B$79),0),_xlfn.IFNA(SUMPRODUCT(OFFSET(Loans!$D$11,MATCH($B72,Loans!$A$12:$A$23,0),0,1,4),Loans!$B$53:$E$53),0)+SUMPRODUCT(OFFSET(Loans!$D$28,MATCH($B72,Loans!$A$29:$A$40,0),0,1,20),Loans!$B$66:$U$66))-L72-K72-N72</f>
        <v>0</v>
      </c>
      <c r="P72" s="100"/>
      <c r="Q72" s="100"/>
      <c r="R72" s="89">
        <f ca="1">SUM(G72:I72)-SUM(K72:L72)-SUM(N72:Q72)</f>
        <v>0</v>
      </c>
      <c r="T72" s="92">
        <f ca="1">D72+H72-K72-'Partnership Profit &amp; Loss'!AE$35</f>
        <v>0</v>
      </c>
      <c r="U72" s="89">
        <f ca="1">IF(Applicants!$J$5="Yes",IF(B72&lt;&gt;"",(SUM(Loans!$B$52:$E$52)+SUM(Loans!$B$65:$U$65))/COUNT($B$55:$B$79),0),_xlfn.IFNA(SUMPRODUCT(OFFSET(Loans!$D$11,MATCH($B72,Loans!$A$12:$A$23,0),0,1,4),Loans!$B$52:$E$52,Loans!$B$54:$E$54),0)+SUMPRODUCT(OFFSET(Loans!$D$28,MATCH($B72,Loans!$A$29:$A$40,0),0,1,20),Loans!$B$65:$U$65,Loans!$B$67:$U$67)+_xlfn.IFNA(SUMPRODUCT(OFFSET(Loans!$D$11,MATCH($B72,Loans!$A$12:$A$23,0),0,1,4),Loans!$B$52:$E$52,Loans!$B$55:$E$55),0)+SUMPRODUCT(OFFSET(Loans!$D$28,MATCH($B72,Loans!$A$29:$A$40,0),0,1,20),Loans!$B$65:$U$65,Loans!$B$68:$U$68))</f>
        <v>0</v>
      </c>
      <c r="V72" s="89">
        <f ca="1">IF(Applicants!$J$5="Yes",IF(B72&lt;&gt;"",(SUM(Loans!$B$49:$E$49)+SUM(Loans!$B$62:$U$62))/COUNT(Serviceability!$B$55:$B$79),0),_xlfn.IFNA(SUMPRODUCT(OFFSET(Loans!$D$11,MATCH($B72,Loans!$A$12:$A$23,0),0,1,4),Loans!$B$49:$E$49),0)+SUMPRODUCT(OFFSET(Loans!$D$28,MATCH($B72,Loans!$A$29:$A$40,0),0,1,20),Loans!$B$62:$U$62))</f>
        <v>0</v>
      </c>
      <c r="W72" s="95">
        <f ca="1">_xlfn.IFNA(SUMPRODUCT(OFFSET(Loans!$D$11,MATCH($B72,Loans!$A$12:$A$23,0),0,1,4),Loans!$B$59:$E$59),0)</f>
        <v>0</v>
      </c>
      <c r="AT72" s="91">
        <f ca="1">IF(Applicants!$J$5="Yes",IF(B72&lt;&gt;"",(SUM(Loans!$B$56:$E$56)+SUM(Loans!$B$89:$U$89))/COUNT($B$55:$B$79),0),_xlfn.IFNA(SUMPRODUCT(OFFSET(Loans!$D$11,MATCH($B72,Loans!$A$12:$A$23,0),0,1,4),Loans!$B$56:$E$56),0)+SUMPRODUCT(OFFSET(Loans!$D$28,MATCH($B72,Loans!$A$29:$A$40,0),0,1,20),Loans!$B$89:$U$89))-L72-K72-N72</f>
        <v>0</v>
      </c>
    </row>
    <row r="73" spans="1:46" hidden="1" x14ac:dyDescent="0.2">
      <c r="D73" s="89"/>
      <c r="E73" s="89"/>
      <c r="F73" s="99"/>
      <c r="G73" s="91"/>
      <c r="H73" s="92"/>
      <c r="I73" s="99"/>
      <c r="J73" s="89"/>
      <c r="K73" s="93"/>
      <c r="L73" s="100"/>
      <c r="M73" s="99"/>
      <c r="N73" s="89"/>
      <c r="O73" s="89"/>
      <c r="P73" s="89"/>
      <c r="Q73" s="99"/>
      <c r="R73" s="89"/>
      <c r="T73" s="92"/>
      <c r="U73" s="89"/>
      <c r="V73" s="89"/>
      <c r="W73" s="4"/>
      <c r="AT73" s="91"/>
    </row>
    <row r="74" spans="1:46" hidden="1" x14ac:dyDescent="0.2">
      <c r="D74" s="89"/>
      <c r="E74" s="89"/>
      <c r="F74" s="99"/>
      <c r="G74" s="91"/>
      <c r="H74" s="92"/>
      <c r="I74" s="99"/>
      <c r="J74" s="89"/>
      <c r="K74" s="93"/>
      <c r="L74" s="100"/>
      <c r="M74" s="99"/>
      <c r="N74" s="89"/>
      <c r="O74" s="89"/>
      <c r="P74" s="89"/>
      <c r="Q74" s="99"/>
      <c r="R74" s="89"/>
      <c r="T74" s="92"/>
      <c r="U74" s="89"/>
      <c r="V74" s="89"/>
      <c r="W74" s="4"/>
      <c r="AT74" s="91"/>
    </row>
    <row r="75" spans="1:46" hidden="1" x14ac:dyDescent="0.2">
      <c r="A75" s="3" t="s">
        <v>61</v>
      </c>
      <c r="D75" s="89"/>
      <c r="E75" s="89"/>
      <c r="F75" s="99"/>
      <c r="G75" s="91"/>
      <c r="H75" s="92"/>
      <c r="I75" s="99"/>
      <c r="J75" s="89"/>
      <c r="K75" s="93"/>
      <c r="L75" s="100"/>
      <c r="M75" s="99"/>
      <c r="N75" s="89"/>
      <c r="O75" s="89"/>
      <c r="P75" s="89"/>
      <c r="Q75" s="99"/>
      <c r="R75" s="89"/>
      <c r="T75" s="92"/>
      <c r="U75" s="89"/>
      <c r="V75" s="89"/>
      <c r="W75" s="4"/>
      <c r="AT75" s="91"/>
    </row>
    <row r="76" spans="1:46" hidden="1" x14ac:dyDescent="0.2">
      <c r="A76" s="3">
        <v>1</v>
      </c>
      <c r="B76" s="3" t="str">
        <f>INDEX(Applicants!$M$25:$P$25,1,A76)</f>
        <v/>
      </c>
      <c r="C76" s="3" t="str">
        <f t="shared" ref="C76:C79" si="37">IF(B76="","",INDEX($B$23:$B$34,B76))</f>
        <v/>
      </c>
      <c r="D76" s="89">
        <f>'Trust Profit &amp; Loss'!G41</f>
        <v>0</v>
      </c>
      <c r="E76" s="100"/>
      <c r="F76" s="99">
        <f ca="1">D76+H76-K76-N76-O76</f>
        <v>0</v>
      </c>
      <c r="G76" s="91">
        <f ca="1">D76+E76-F76</f>
        <v>0</v>
      </c>
      <c r="H76" s="92">
        <f ca="1">IF(Applicants!$J$5="Yes",IF($B76&lt;&gt;"",SUM('Properties &amp; Ind Income'!$E$3:$E$12)/COUNT($B$55:$B$79),0),SUMPRODUCT(OFFSET('Properties &amp; Ind Income'!$D$17,MATCH($B76,'Properties &amp; Ind Income'!$A$18:$A$29,0),0,1,10),'Properties &amp; Ind Income'!$D$44:$M$44))</f>
        <v>0</v>
      </c>
      <c r="I76" s="100"/>
      <c r="J76" s="89">
        <f ca="1">G76+H76+I76</f>
        <v>0</v>
      </c>
      <c r="K76" s="93">
        <f ca="1">IF(Applicants!$J$5="Yes",
    IF(B76&lt;&gt;"",
        (SUM(Loans!$B$60:$E$60)+SUM(Loans!$B$100:$U$100))/COUNT($B$55:$B$79),
        0),
    _xlfn.IFNA(SUMPRODUCT(OFFSET(Loans!$D$11,MATCH($B76,Loans!$A$12:$A$23,0),0,1,4),Loans!$B$60:$E$60),0)
    +SUMPRODUCT(OFFSET(Loans!$D$28,MATCH($B76,Loans!$A$29:$A$40,0),0,1,20),Loans!$B$100:$U$100))</f>
        <v>0</v>
      </c>
      <c r="L76" s="100"/>
      <c r="M76" s="89">
        <f ca="1">J76-SUM(K76:L76)</f>
        <v>0</v>
      </c>
      <c r="N76" s="89">
        <f ca="1">IF(Applicants!$J$5="Yes",IF(B76&lt;&gt;"",(SUM(Loans!$B$51:$E$51)+SUM(Loans!$B$64:$U$64))/COUNT($B$55:$B$79),0),_xlfn.IFNA(SUMPRODUCT(OFFSET(Loans!$D$11,MATCH($B76,Loans!$A$12:$A$23,0),0,1,4),Loans!$B$51:$E$51),0)+SUMPRODUCT(OFFSET(Loans!$D$28,MATCH($B76,Loans!$A$29:$A$40,0),0,1,20),Loans!$B$64:$U$64))-L76-K76</f>
        <v>0</v>
      </c>
      <c r="O76" s="89">
        <f ca="1">IF(Applicants!$J$5="Yes",IF(B76&lt;&gt;"",(SUM(Loans!$B$53:$E$53)+SUM(Loans!$B$66:$U$66))/COUNT($B$55:$B$79),0),_xlfn.IFNA(SUMPRODUCT(OFFSET(Loans!$D$11,MATCH($B76,Loans!$A$12:$A$23,0),0,1,4),Loans!$B$53:$E$53),0)+SUMPRODUCT(OFFSET(Loans!$D$28,MATCH($B76,Loans!$A$29:$A$40,0),0,1,20),Loans!$B$66:$U$66))-L76-K76-N76</f>
        <v>0</v>
      </c>
      <c r="P76" s="100"/>
      <c r="Q76" s="100"/>
      <c r="R76" s="89">
        <f ca="1">SUM(G76:I76)-SUM(K76:L76)-SUM(N76:Q76)</f>
        <v>0</v>
      </c>
      <c r="T76" s="92">
        <f ca="1">MAX(D76+H76-K76-'Trust Profit &amp; Loss'!G$35,0)</f>
        <v>0</v>
      </c>
      <c r="U76" s="89">
        <f ca="1">IF(Applicants!$J$5="Yes",IF(B76&lt;&gt;"",(SUM(Loans!$B$52:$E$52)+SUM(Loans!$B$65:$U$65))/COUNT($B$55:$B$79),0),_xlfn.IFNA(SUMPRODUCT(OFFSET(Loans!$D$11,MATCH($B76,Loans!$A$12:$A$23,0),0,1,4),Loans!$B$52:$E$52,Loans!$B$54:$E$54),0)+SUMPRODUCT(OFFSET(Loans!$D$28,MATCH($B76,Loans!$A$29:$A$40,0),0,1,20),Loans!$B$65:$U$65,Loans!$B$67:$U$67)+_xlfn.IFNA(SUMPRODUCT(OFFSET(Loans!$D$11,MATCH($B76,Loans!$A$12:$A$23,0),0,1,4),Loans!$B$52:$E$52,Loans!$B$55:$E$55),0)+SUMPRODUCT(OFFSET(Loans!$D$28,MATCH($B76,Loans!$A$29:$A$40,0),0,1,20),Loans!$B$65:$U$65,Loans!$B$68:$U$68))</f>
        <v>0</v>
      </c>
      <c r="V76" s="89">
        <f ca="1">IF(Applicants!$J$5="Yes",IF(B76&lt;&gt;"",(SUM(Loans!$B$49:$E$49)+SUM(Loans!$B$62:$U$62))/COUNT(Serviceability!$B$55:$B$79),0),_xlfn.IFNA(SUMPRODUCT(OFFSET(Loans!$D$11,MATCH($B76,Loans!$A$12:$A$23,0),0,1,4),Loans!$B$49:$E$49),0)+SUMPRODUCT(OFFSET(Loans!$D$28,MATCH($B76,Loans!$A$29:$A$40,0),0,1,20),Loans!$B$62:$U$62))</f>
        <v>0</v>
      </c>
      <c r="W76" s="95">
        <f ca="1">_xlfn.IFNA(SUMPRODUCT(OFFSET(Loans!$D$11,MATCH($B76,Loans!$A$12:$A$23,0),0,1,4),Loans!$B$59:$E$59),0)</f>
        <v>0</v>
      </c>
      <c r="AT76" s="91">
        <f ca="1">IF(Applicants!$J$5="Yes",IF(B76&lt;&gt;"",(SUM(Loans!$B$56:$E$56)+SUM(Loans!$B$89:$U$89))/COUNT($B$55:$B$79),0),_xlfn.IFNA(SUMPRODUCT(OFFSET(Loans!$D$11,MATCH($B76,Loans!$A$12:$A$23,0),0,1,4),Loans!$B$56:$E$56),0)+SUMPRODUCT(OFFSET(Loans!$D$28,MATCH($B76,Loans!$A$29:$A$40,0),0,1,20),Loans!$B$89:$U$89))-L76-K76-N76</f>
        <v>0</v>
      </c>
    </row>
    <row r="77" spans="1:46" hidden="1" x14ac:dyDescent="0.2">
      <c r="A77" s="3">
        <f>A76+1</f>
        <v>2</v>
      </c>
      <c r="B77" s="3" t="str">
        <f>INDEX(Applicants!$M$25:$P$25,1,A77)</f>
        <v/>
      </c>
      <c r="C77" s="3" t="str">
        <f t="shared" si="37"/>
        <v/>
      </c>
      <c r="D77" s="89">
        <f>'Trust Profit &amp; Loss'!O41</f>
        <v>0</v>
      </c>
      <c r="E77" s="100"/>
      <c r="F77" s="99">
        <f ca="1">D77+H77-K77-N77-O77</f>
        <v>0</v>
      </c>
      <c r="G77" s="91">
        <f ca="1">D77+E77-F77</f>
        <v>0</v>
      </c>
      <c r="H77" s="92">
        <f ca="1">IF(Applicants!$J$5="Yes",IF($B77&lt;&gt;"",SUM('Properties &amp; Ind Income'!$E$3:$E$12)/COUNT($B$55:$B$79),0),SUMPRODUCT(OFFSET('Properties &amp; Ind Income'!$D$17,MATCH($B77,'Properties &amp; Ind Income'!$A$18:$A$29,0),0,1,10),'Properties &amp; Ind Income'!$D$44:$M$44))</f>
        <v>0</v>
      </c>
      <c r="I77" s="100"/>
      <c r="J77" s="89">
        <f ca="1">G77+H77+I77</f>
        <v>0</v>
      </c>
      <c r="K77" s="93">
        <f ca="1">IF(Applicants!$J$5="Yes",
    IF(B77&lt;&gt;"",
        (SUM(Loans!$B$60:$E$60)+SUM(Loans!$B$100:$U$100))/COUNT($B$55:$B$79),
        0),
    _xlfn.IFNA(SUMPRODUCT(OFFSET(Loans!$D$11,MATCH($B77,Loans!$A$12:$A$23,0),0,1,4),Loans!$B$60:$E$60),0)
    +SUMPRODUCT(OFFSET(Loans!$D$28,MATCH($B77,Loans!$A$29:$A$40,0),0,1,20),Loans!$B$100:$U$100))</f>
        <v>0</v>
      </c>
      <c r="L77" s="100"/>
      <c r="M77" s="89">
        <f ca="1">J77-SUM(K77:L77)</f>
        <v>0</v>
      </c>
      <c r="N77" s="89">
        <f ca="1">IF(Applicants!$J$5="Yes",IF(B77&lt;&gt;"",(SUM(Loans!$B$51:$E$51)+SUM(Loans!$B$64:$U$64))/COUNT($B$55:$B$79),0),_xlfn.IFNA(SUMPRODUCT(OFFSET(Loans!$D$11,MATCH($B77,Loans!$A$12:$A$23,0),0,1,4),Loans!$B$51:$E$51),0)+SUMPRODUCT(OFFSET(Loans!$D$28,MATCH($B77,Loans!$A$29:$A$40,0),0,1,20),Loans!$B$64:$U$64))-L77-K77</f>
        <v>0</v>
      </c>
      <c r="O77" s="89">
        <f ca="1">IF(Applicants!$J$5="Yes",IF(B77&lt;&gt;"",(SUM(Loans!$B$53:$E$53)+SUM(Loans!$B$66:$U$66))/COUNT($B$55:$B$79),0),_xlfn.IFNA(SUMPRODUCT(OFFSET(Loans!$D$11,MATCH($B77,Loans!$A$12:$A$23,0),0,1,4),Loans!$B$53:$E$53),0)+SUMPRODUCT(OFFSET(Loans!$D$28,MATCH($B77,Loans!$A$29:$A$40,0),0,1,20),Loans!$B$66:$U$66))-L77-K77-N77</f>
        <v>0</v>
      </c>
      <c r="P77" s="100"/>
      <c r="Q77" s="100"/>
      <c r="R77" s="89">
        <f ca="1">SUM(G77:I77)-SUM(K77:L77)-SUM(N77:Q77)</f>
        <v>0</v>
      </c>
      <c r="T77" s="92">
        <f ca="1">MAX(D77+H77-K77-'Trust Profit &amp; Loss'!O$35,0)</f>
        <v>0</v>
      </c>
      <c r="U77" s="89">
        <f ca="1">IF(Applicants!$J$5="Yes",IF(B77&lt;&gt;"",(SUM(Loans!$B$52:$E$52)+SUM(Loans!$B$65:$U$65))/COUNT($B$55:$B$79),0),_xlfn.IFNA(SUMPRODUCT(OFFSET(Loans!$D$11,MATCH($B77,Loans!$A$12:$A$23,0),0,1,4),Loans!$B$52:$E$52,Loans!$B$54:$E$54),0)+SUMPRODUCT(OFFSET(Loans!$D$28,MATCH($B77,Loans!$A$29:$A$40,0),0,1,20),Loans!$B$65:$U$65,Loans!$B$67:$U$67)+_xlfn.IFNA(SUMPRODUCT(OFFSET(Loans!$D$11,MATCH($B77,Loans!$A$12:$A$23,0),0,1,4),Loans!$B$52:$E$52,Loans!$B$55:$E$55),0)+SUMPRODUCT(OFFSET(Loans!$D$28,MATCH($B77,Loans!$A$29:$A$40,0),0,1,20),Loans!$B$65:$U$65,Loans!$B$68:$U$68))</f>
        <v>0</v>
      </c>
      <c r="V77" s="89">
        <f ca="1">IF(Applicants!$J$5="Yes",IF(B77&lt;&gt;"",(SUM(Loans!$B$49:$E$49)+SUM(Loans!$B$62:$U$62))/COUNT(Serviceability!$B$55:$B$79),0),_xlfn.IFNA(SUMPRODUCT(OFFSET(Loans!$D$11,MATCH($B77,Loans!$A$12:$A$23,0),0,1,4),Loans!$B$49:$E$49),0)+SUMPRODUCT(OFFSET(Loans!$D$28,MATCH($B77,Loans!$A$29:$A$40,0),0,1,20),Loans!$B$62:$U$62))</f>
        <v>0</v>
      </c>
      <c r="W77" s="95">
        <f ca="1">_xlfn.IFNA(SUMPRODUCT(OFFSET(Loans!$D$11,MATCH($B77,Loans!$A$12:$A$23,0),0,1,4),Loans!$B$59:$E$59),0)</f>
        <v>0</v>
      </c>
      <c r="AT77" s="91">
        <f ca="1">IF(Applicants!$J$5="Yes",IF(B77&lt;&gt;"",(SUM(Loans!$B$56:$E$56)+SUM(Loans!$B$89:$U$89))/COUNT($B$55:$B$79),0),_xlfn.IFNA(SUMPRODUCT(OFFSET(Loans!$D$11,MATCH($B77,Loans!$A$12:$A$23,0),0,1,4),Loans!$B$56:$E$56),0)+SUMPRODUCT(OFFSET(Loans!$D$28,MATCH($B77,Loans!$A$29:$A$40,0),0,1,20),Loans!$B$89:$U$89))-L77-K77-N77</f>
        <v>0</v>
      </c>
    </row>
    <row r="78" spans="1:46" hidden="1" x14ac:dyDescent="0.2">
      <c r="A78" s="3">
        <f t="shared" ref="A78:A79" si="38">A77+1</f>
        <v>3</v>
      </c>
      <c r="B78" s="3" t="str">
        <f>INDEX(Applicants!$M$25:$P$25,1,A78)</f>
        <v/>
      </c>
      <c r="C78" s="3" t="str">
        <f t="shared" si="37"/>
        <v/>
      </c>
      <c r="D78" s="89">
        <f>'Trust Profit &amp; Loss'!W41</f>
        <v>0</v>
      </c>
      <c r="E78" s="100"/>
      <c r="F78" s="99">
        <f ca="1">D78+H78-K78-N78-O78</f>
        <v>0</v>
      </c>
      <c r="G78" s="91">
        <f ca="1">D78+E78-F78</f>
        <v>0</v>
      </c>
      <c r="H78" s="92">
        <f ca="1">IF(Applicants!$J$5="Yes",IF($B78&lt;&gt;"",SUM('Properties &amp; Ind Income'!$E$3:$E$12)/COUNT($B$55:$B$79),0),SUMPRODUCT(OFFSET('Properties &amp; Ind Income'!$D$17,MATCH($B78,'Properties &amp; Ind Income'!$A$18:$A$29,0),0,1,10),'Properties &amp; Ind Income'!$D$44:$M$44))</f>
        <v>0</v>
      </c>
      <c r="I78" s="100"/>
      <c r="J78" s="89">
        <f ca="1">G78+H78+I78</f>
        <v>0</v>
      </c>
      <c r="K78" s="93">
        <f ca="1">IF(Applicants!$J$5="Yes",
    IF(B78&lt;&gt;"",
        (SUM(Loans!$B$60:$E$60)+SUM(Loans!$B$100:$U$100))/COUNT($B$55:$B$79),
        0),
    _xlfn.IFNA(SUMPRODUCT(OFFSET(Loans!$D$11,MATCH($B78,Loans!$A$12:$A$23,0),0,1,4),Loans!$B$60:$E$60),0)
    +SUMPRODUCT(OFFSET(Loans!$D$28,MATCH($B78,Loans!$A$29:$A$40,0),0,1,20),Loans!$B$100:$U$100))</f>
        <v>0</v>
      </c>
      <c r="L78" s="100"/>
      <c r="M78" s="89">
        <f ca="1">J78-SUM(K78:L78)</f>
        <v>0</v>
      </c>
      <c r="N78" s="89">
        <f ca="1">IF(Applicants!$J$5="Yes",IF(B78&lt;&gt;"",(SUM(Loans!$B$51:$E$51)+SUM(Loans!$B$64:$U$64))/COUNT($B$55:$B$79),0),_xlfn.IFNA(SUMPRODUCT(OFFSET(Loans!$D$11,MATCH($B78,Loans!$A$12:$A$23,0),0,1,4),Loans!$B$51:$E$51),0)+SUMPRODUCT(OFFSET(Loans!$D$28,MATCH($B78,Loans!$A$29:$A$40,0),0,1,20),Loans!$B$64:$U$64))-L78-K78</f>
        <v>0</v>
      </c>
      <c r="O78" s="89">
        <f ca="1">IF(Applicants!$J$5="Yes",IF(B78&lt;&gt;"",(SUM(Loans!$B$53:$E$53)+SUM(Loans!$B$66:$U$66))/COUNT($B$55:$B$79),0),_xlfn.IFNA(SUMPRODUCT(OFFSET(Loans!$D$11,MATCH($B78,Loans!$A$12:$A$23,0),0,1,4),Loans!$B$53:$E$53),0)+SUMPRODUCT(OFFSET(Loans!$D$28,MATCH($B78,Loans!$A$29:$A$40,0),0,1,20),Loans!$B$66:$U$66))-L78-K78-N78</f>
        <v>0</v>
      </c>
      <c r="P78" s="100"/>
      <c r="Q78" s="100"/>
      <c r="R78" s="89">
        <f ca="1">SUM(G78:I78)-SUM(K78:L78)-SUM(N78:Q78)</f>
        <v>0</v>
      </c>
      <c r="T78" s="92">
        <f ca="1">MAX(D78+H78-K78-'Trust Profit &amp; Loss'!W$35,0)</f>
        <v>0</v>
      </c>
      <c r="U78" s="89">
        <f ca="1">IF(Applicants!$J$5="Yes",IF(B78&lt;&gt;"",(SUM(Loans!$B$52:$E$52)+SUM(Loans!$B$65:$U$65))/COUNT($B$55:$B$79),0),_xlfn.IFNA(SUMPRODUCT(OFFSET(Loans!$D$11,MATCH($B78,Loans!$A$12:$A$23,0),0,1,4),Loans!$B$52:$E$52,Loans!$B$54:$E$54),0)+SUMPRODUCT(OFFSET(Loans!$D$28,MATCH($B78,Loans!$A$29:$A$40,0),0,1,20),Loans!$B$65:$U$65,Loans!$B$67:$U$67)+_xlfn.IFNA(SUMPRODUCT(OFFSET(Loans!$D$11,MATCH($B78,Loans!$A$12:$A$23,0),0,1,4),Loans!$B$52:$E$52,Loans!$B$55:$E$55),0)+SUMPRODUCT(OFFSET(Loans!$D$28,MATCH($B78,Loans!$A$29:$A$40,0),0,1,20),Loans!$B$65:$U$65,Loans!$B$68:$U$68))</f>
        <v>0</v>
      </c>
      <c r="V78" s="89">
        <f ca="1">IF(Applicants!$J$5="Yes",IF(B78&lt;&gt;"",(SUM(Loans!$B$49:$E$49)+SUM(Loans!$B$62:$U$62))/COUNT(Serviceability!$B$55:$B$79),0),_xlfn.IFNA(SUMPRODUCT(OFFSET(Loans!$D$11,MATCH($B78,Loans!$A$12:$A$23,0),0,1,4),Loans!$B$49:$E$49),0)+SUMPRODUCT(OFFSET(Loans!$D$28,MATCH($B78,Loans!$A$29:$A$40,0),0,1,20),Loans!$B$62:$U$62))</f>
        <v>0</v>
      </c>
      <c r="W78" s="95">
        <f ca="1">_xlfn.IFNA(SUMPRODUCT(OFFSET(Loans!$D$11,MATCH($B78,Loans!$A$12:$A$23,0),0,1,4),Loans!$B$59:$E$59),0)</f>
        <v>0</v>
      </c>
      <c r="AT78" s="91">
        <f ca="1">IF(Applicants!$J$5="Yes",IF(B78&lt;&gt;"",(SUM(Loans!$B$56:$E$56)+SUM(Loans!$B$89:$U$89))/COUNT($B$55:$B$79),0),_xlfn.IFNA(SUMPRODUCT(OFFSET(Loans!$D$11,MATCH($B78,Loans!$A$12:$A$23,0),0,1,4),Loans!$B$56:$E$56),0)+SUMPRODUCT(OFFSET(Loans!$D$28,MATCH($B78,Loans!$A$29:$A$40,0),0,1,20),Loans!$B$89:$U$89))-L78-K78-N78</f>
        <v>0</v>
      </c>
    </row>
    <row r="79" spans="1:46" hidden="1" x14ac:dyDescent="0.2">
      <c r="A79" s="3">
        <f t="shared" si="38"/>
        <v>4</v>
      </c>
      <c r="B79" s="3" t="str">
        <f>INDEX(Applicants!$M$25:$P$25,1,A79)</f>
        <v/>
      </c>
      <c r="C79" s="3" t="str">
        <f t="shared" si="37"/>
        <v/>
      </c>
      <c r="D79" s="89">
        <f>'Trust Profit &amp; Loss'!AE41</f>
        <v>0</v>
      </c>
      <c r="E79" s="100"/>
      <c r="F79" s="99">
        <f ca="1">D79+H79-K79-N79-O79</f>
        <v>0</v>
      </c>
      <c r="G79" s="91">
        <f ca="1">D79+E79-F79</f>
        <v>0</v>
      </c>
      <c r="H79" s="92">
        <f ca="1">IF(Applicants!$J$5="Yes",IF($B79&lt;&gt;"",SUM('Properties &amp; Ind Income'!$E$3:$E$12)/COUNT($B$55:$B$79),0),SUMPRODUCT(OFFSET('Properties &amp; Ind Income'!$D$17,MATCH($B79,'Properties &amp; Ind Income'!$A$18:$A$29,0),0,1,10),'Properties &amp; Ind Income'!$D$44:$M$44))</f>
        <v>0</v>
      </c>
      <c r="I79" s="100"/>
      <c r="J79" s="89">
        <f ca="1">G79+H79+I79</f>
        <v>0</v>
      </c>
      <c r="K79" s="93">
        <f ca="1">IF(Applicants!$J$5="Yes",
    IF(B79&lt;&gt;"",
        (SUM(Loans!$B$60:$E$60)+SUM(Loans!$B$100:$U$100))/COUNT($B$55:$B$79),
        0),
    _xlfn.IFNA(SUMPRODUCT(OFFSET(Loans!$D$11,MATCH($B79,Loans!$A$12:$A$23,0),0,1,4),Loans!$B$60:$E$60),0)
    +SUMPRODUCT(OFFSET(Loans!$D$28,MATCH($B79,Loans!$A$29:$A$40,0),0,1,20),Loans!$B$100:$U$100))</f>
        <v>0</v>
      </c>
      <c r="L79" s="100"/>
      <c r="M79" s="89">
        <f ca="1">J79-SUM(K79:L79)</f>
        <v>0</v>
      </c>
      <c r="N79" s="89">
        <f ca="1">IF(Applicants!$J$5="Yes",IF(B79&lt;&gt;"",(SUM(Loans!$B$51:$E$51)+SUM(Loans!$B$64:$U$64))/COUNT($B$55:$B$79),0),_xlfn.IFNA(SUMPRODUCT(OFFSET(Loans!$D$11,MATCH($B79,Loans!$A$12:$A$23,0),0,1,4),Loans!$B$51:$E$51),0)+SUMPRODUCT(OFFSET(Loans!$D$28,MATCH($B79,Loans!$A$29:$A$40,0),0,1,20),Loans!$B$64:$U$64))-L79-K79</f>
        <v>0</v>
      </c>
      <c r="O79" s="89">
        <f ca="1">IF(Applicants!$J$5="Yes",IF(B79&lt;&gt;"",(SUM(Loans!$B$53:$E$53)+SUM(Loans!$B$66:$U$66))/COUNT($B$55:$B$79),0),_xlfn.IFNA(SUMPRODUCT(OFFSET(Loans!$D$11,MATCH($B79,Loans!$A$12:$A$23,0),0,1,4),Loans!$B$53:$E$53),0)+SUMPRODUCT(OFFSET(Loans!$D$28,MATCH($B79,Loans!$A$29:$A$40,0),0,1,20),Loans!$B$66:$U$66))-L79-K79-N79</f>
        <v>0</v>
      </c>
      <c r="P79" s="100"/>
      <c r="Q79" s="100"/>
      <c r="R79" s="89">
        <f ca="1">SUM(G79:I79)-SUM(K79:L79)-SUM(N79:Q79)</f>
        <v>0</v>
      </c>
      <c r="T79" s="92">
        <f ca="1">MAX(D79+H79-K79-'Trust Profit &amp; Loss'!AE$35,0)</f>
        <v>0</v>
      </c>
      <c r="U79" s="89">
        <f ca="1">IF(Applicants!$J$5="Yes",IF(B79&lt;&gt;"",(SUM(Loans!$B$52:$E$52)+SUM(Loans!$B$65:$U$65))/COUNT($B$55:$B$79),0),_xlfn.IFNA(SUMPRODUCT(OFFSET(Loans!$D$11,MATCH($B79,Loans!$A$12:$A$23,0),0,1,4),Loans!$B$52:$E$52,Loans!$B$54:$E$54),0)+SUMPRODUCT(OFFSET(Loans!$D$28,MATCH($B79,Loans!$A$29:$A$40,0),0,1,20),Loans!$B$65:$U$65,Loans!$B$67:$U$67)+_xlfn.IFNA(SUMPRODUCT(OFFSET(Loans!$D$11,MATCH($B79,Loans!$A$12:$A$23,0),0,1,4),Loans!$B$52:$E$52,Loans!$B$55:$E$55),0)+SUMPRODUCT(OFFSET(Loans!$D$28,MATCH($B79,Loans!$A$29:$A$40,0),0,1,20),Loans!$B$65:$U$65,Loans!$B$68:$U$68))</f>
        <v>0</v>
      </c>
      <c r="V79" s="89">
        <f ca="1">IF(Applicants!$J$5="Yes",IF(B79&lt;&gt;"",(SUM(Loans!$B$49:$E$49)+SUM(Loans!$B$62:$U$62))/COUNT(Serviceability!$B$55:$B$79),0),_xlfn.IFNA(SUMPRODUCT(OFFSET(Loans!$D$11,MATCH($B79,Loans!$A$12:$A$23,0),0,1,4),Loans!$B$49:$E$49),0)+SUMPRODUCT(OFFSET(Loans!$D$28,MATCH($B79,Loans!$A$29:$A$40,0),0,1,20),Loans!$B$62:$U$62))</f>
        <v>0</v>
      </c>
      <c r="W79" s="95">
        <f ca="1">_xlfn.IFNA(SUMPRODUCT(OFFSET(Loans!$D$11,MATCH($B79,Loans!$A$12:$A$23,0),0,1,4),Loans!$B$59:$E$59),0)</f>
        <v>0</v>
      </c>
      <c r="AT79" s="91">
        <f ca="1">IF(Applicants!$J$5="Yes",IF(B79&lt;&gt;"",(SUM(Loans!$B$56:$E$56)+SUM(Loans!$B$89:$U$89))/COUNT($B$55:$B$79),0),_xlfn.IFNA(SUMPRODUCT(OFFSET(Loans!$D$11,MATCH($B79,Loans!$A$12:$A$23,0),0,1,4),Loans!$B$56:$E$56),0)+SUMPRODUCT(OFFSET(Loans!$D$28,MATCH($B79,Loans!$A$29:$A$40,0),0,1,20),Loans!$B$89:$U$89))-L79-K79-N79</f>
        <v>0</v>
      </c>
    </row>
    <row r="80" spans="1:46" hidden="1" x14ac:dyDescent="0.2">
      <c r="H80" s="4"/>
      <c r="T80" s="4"/>
      <c r="W80" s="4"/>
    </row>
    <row r="81" spans="1:23" hidden="1" x14ac:dyDescent="0.2">
      <c r="D81" s="91"/>
      <c r="E81" s="91"/>
      <c r="F81" s="91"/>
      <c r="P81" s="78" t="s">
        <v>62</v>
      </c>
      <c r="R81" s="78" t="s">
        <v>63</v>
      </c>
      <c r="T81" s="78" t="s">
        <v>64</v>
      </c>
      <c r="W81" s="4"/>
    </row>
    <row r="82" spans="1:23" hidden="1" x14ac:dyDescent="0.2">
      <c r="E82" s="89"/>
      <c r="F82" s="81"/>
    </row>
    <row r="83" spans="1:23" hidden="1" x14ac:dyDescent="0.2">
      <c r="E83" s="89"/>
      <c r="F83" s="79"/>
    </row>
    <row r="84" spans="1:23" hidden="1" x14ac:dyDescent="0.2">
      <c r="E84" s="89"/>
    </row>
    <row r="85" spans="1:23" hidden="1" x14ac:dyDescent="0.2">
      <c r="E85" s="89"/>
    </row>
    <row r="86" spans="1:23" hidden="1" x14ac:dyDescent="0.2">
      <c r="A86" s="78"/>
    </row>
    <row r="87" spans="1:23" hidden="1" x14ac:dyDescent="0.2">
      <c r="A87" s="78"/>
    </row>
    <row r="88" spans="1:23" hidden="1" x14ac:dyDescent="0.2">
      <c r="A88" s="78"/>
    </row>
    <row r="89" spans="1:23" hidden="1" x14ac:dyDescent="0.2">
      <c r="A89" s="78"/>
    </row>
    <row r="90" spans="1:23" hidden="1" x14ac:dyDescent="0.2">
      <c r="A90" s="78"/>
    </row>
    <row r="91" spans="1:23" hidden="1" x14ac:dyDescent="0.2">
      <c r="A91" s="78" t="s">
        <v>5</v>
      </c>
      <c r="B91" s="3" t="e">
        <f>IF(AND(Applicants!J7="Private/Resi Stock",Applicants!J3="Standard Mid Doc"),Assumptions!M9,IF(AND(Applicants!J3="Quick Doc",Applicants!J7="Private/Resi Stock",Applicants!J13="&gt;50%"),Assumptions!N9,IF(AND(Applicants!J3="Quick Doc",Applicants!J7="Private/Resi Stock",Applicants!J13="&lt;=50%"),Assumptions!O9,HLOOKUP(Applicants!J3,Assumptions!$G$8:$L$9,2,FALSE))))</f>
        <v>#N/A</v>
      </c>
    </row>
    <row r="92" spans="1:23" hidden="1" x14ac:dyDescent="0.2"/>
    <row r="93" spans="1:23" hidden="1" x14ac:dyDescent="0.2"/>
    <row r="94" spans="1:23" hidden="1" x14ac:dyDescent="0.2"/>
    <row r="95" spans="1:23" hidden="1" x14ac:dyDescent="0.2"/>
    <row r="96" spans="1:23"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Ef1Vp7zw2pN4d6IA9+YooXWvwg7y/nZBvId8udR/sXY3GcKkUx37eyanzB4FN9MSAV6kdmKr7+xtmBU9L06KKQ==" saltValue="TrXqO7E8Qh9xwQxgdSQTPw==" spinCount="100000" sheet="1" objects="1" scenarios="1"/>
  <conditionalFormatting sqref="A3:I3 M3:Q3 A6:I6 M7:P7 A22:N22">
    <cfRule type="expression" dxfId="308" priority="1">
      <formula>OR( Branding = "YBR")</formula>
    </cfRule>
  </conditionalFormatting>
  <conditionalFormatting sqref="A3:I3 M3:Q3 A6:I6 M7:P7 R22">
    <cfRule type="expression" dxfId="307" priority="63">
      <formula>OR( Branding = "Go Beyond")</formula>
    </cfRule>
    <cfRule type="expression" dxfId="306" priority="49">
      <formula>OR( Branding = "RM")</formula>
    </cfRule>
    <cfRule type="expression" dxfId="305" priority="48">
      <formula>OR( Branding = "CON")</formula>
    </cfRule>
    <cfRule type="expression" dxfId="304" priority="47">
      <formula>OR( Branding = "AFG Align")</formula>
    </cfRule>
    <cfRule type="expression" dxfId="303" priority="46">
      <formula>OR( Branding = "AFG")</formula>
    </cfRule>
    <cfRule type="expression" dxfId="302" priority="45">
      <formula>OR( Branding = "WINWIN")</formula>
    </cfRule>
  </conditionalFormatting>
  <conditionalFormatting sqref="A7:I18">
    <cfRule type="expression" dxfId="300" priority="55">
      <formula>$C7=""</formula>
    </cfRule>
  </conditionalFormatting>
  <conditionalFormatting sqref="A22:Q22">
    <cfRule type="expression" dxfId="299" priority="16">
      <formula>OR( Branding = "Thrive")</formula>
    </cfRule>
    <cfRule type="expression" dxfId="298" priority="17">
      <formula>OR( Branding = "WINWIN")</formula>
    </cfRule>
    <cfRule type="expression" dxfId="297" priority="18">
      <formula>OR( Branding = "AFG")</formula>
    </cfRule>
    <cfRule type="expression" dxfId="296" priority="19">
      <formula>OR( Branding = "AFG Align")</formula>
    </cfRule>
    <cfRule type="expression" dxfId="295" priority="20">
      <formula>OR( Branding = "CON")</formula>
    </cfRule>
    <cfRule type="expression" dxfId="294" priority="21">
      <formula>OR( Branding = "RM")</formula>
    </cfRule>
    <cfRule type="expression" dxfId="293" priority="24">
      <formula>OR( Branding = "Go Beyond")</formula>
    </cfRule>
  </conditionalFormatting>
  <conditionalFormatting sqref="A22:R22 A3:I3 M3:Q3 A6:I6 M7:P7">
    <cfRule type="expression" dxfId="292" priority="5">
      <formula>OR( Branding = "Paramount")</formula>
    </cfRule>
  </conditionalFormatting>
  <conditionalFormatting sqref="A23:R34">
    <cfRule type="expression" dxfId="291" priority="22">
      <formula>$C23=""</formula>
    </cfRule>
  </conditionalFormatting>
  <conditionalFormatting sqref="D4">
    <cfRule type="expression" dxfId="290" priority="58">
      <formula>D4&lt;$B$91</formula>
    </cfRule>
  </conditionalFormatting>
  <conditionalFormatting sqref="E23:E34">
    <cfRule type="expression" dxfId="288" priority="61">
      <formula>OR($C23="Trust",$C23="Partnership")</formula>
    </cfRule>
  </conditionalFormatting>
  <conditionalFormatting sqref="F23:F34">
    <cfRule type="expression" dxfId="286" priority="60">
      <formula>NOT(OR($C23="Trust",$C23="Partnership"))</formula>
    </cfRule>
  </conditionalFormatting>
  <conditionalFormatting sqref="G4">
    <cfRule type="expression" dxfId="285" priority="57">
      <formula>$G$5="Escalate"</formula>
    </cfRule>
    <cfRule type="expression" dxfId="283" priority="54">
      <formula>$G$4&lt;=1</formula>
    </cfRule>
  </conditionalFormatting>
  <conditionalFormatting sqref="G5">
    <cfRule type="containsText" dxfId="282" priority="50" operator="containsText" text="Escalate">
      <formula>NOT(ISERROR(SEARCH("Escalate",G5)))</formula>
    </cfRule>
  </conditionalFormatting>
  <conditionalFormatting sqref="I4">
    <cfRule type="expression" dxfId="279" priority="62">
      <formula>I4&lt;=1</formula>
    </cfRule>
  </conditionalFormatting>
  <conditionalFormatting sqref="M4">
    <cfRule type="cellIs" dxfId="277" priority="53" operator="lessThan">
      <formula>1.5</formula>
    </cfRule>
  </conditionalFormatting>
  <conditionalFormatting sqref="M4:P4">
    <cfRule type="containsBlanks" dxfId="276" priority="51">
      <formula>LEN(TRIM(M4))=0</formula>
    </cfRule>
  </conditionalFormatting>
  <conditionalFormatting sqref="O23:O34">
    <cfRule type="expression" dxfId="275" priority="23">
      <formula>$C23&lt;&gt;"Individual"</formula>
    </cfRule>
  </conditionalFormatting>
  <conditionalFormatting sqref="O22:P22">
    <cfRule type="expression" dxfId="274" priority="3">
      <formula>OR( Branding = "YBR")</formula>
    </cfRule>
  </conditionalFormatting>
  <conditionalFormatting sqref="P4">
    <cfRule type="cellIs" dxfId="273" priority="52" operator="lessThanOrEqual">
      <formula>1</formula>
    </cfRule>
  </conditionalFormatting>
  <conditionalFormatting sqref="Q22">
    <cfRule type="expression" dxfId="270" priority="2">
      <formula>OR( Branding = "YBR")</formula>
    </cfRule>
  </conditionalFormatting>
  <conditionalFormatting sqref="R22 A3:I3 M3:Q3 A6:I6 M7:P7">
    <cfRule type="expression" dxfId="268" priority="44">
      <formula>OR( Branding = "Thrive")</formula>
    </cfRule>
  </conditionalFormatting>
  <pageMargins left="0.7" right="0.7" top="0.75" bottom="0.75" header="0.3" footer="0.3"/>
  <pageSetup scale="46"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5" id="{E1055EE5-C3AF-417D-8599-34B4555E1CF9}">
            <xm:f>Applicants!$J$5="Yes"</xm:f>
            <x14:dxf>
              <font>
                <color theme="0"/>
              </font>
              <fill>
                <patternFill>
                  <bgColor theme="0"/>
                </patternFill>
              </fill>
              <border>
                <left/>
                <right/>
                <top/>
                <bottom/>
              </border>
            </x14:dxf>
          </x14:cfRule>
          <xm:sqref>A6:I18 R22:R35 A22:N35 A21:R21</xm:sqref>
        </x14:conditionalFormatting>
        <x14:conditionalFormatting xmlns:xm="http://schemas.microsoft.com/office/excel/2006/main">
          <x14:cfRule type="expression" priority="64" id="{24F95762-21C3-40D8-B2CD-6BCB9527DD31}">
            <xm:f>OR(Applicants!$J$9="Yes",AND(Applicants!$J$7="Residential",Applicants!$J$11="&lt;= $500,000"),AND(Applicants!$J$7="Residential",Applicants!$J$11=""))</xm:f>
            <x14:dxf>
              <font>
                <color theme="0"/>
              </font>
              <fill>
                <patternFill>
                  <bgColor theme="0"/>
                </patternFill>
              </fill>
            </x14:dxf>
          </x14:cfRule>
          <xm:sqref>D4:G4 D7:G18</xm:sqref>
        </x14:conditionalFormatting>
        <x14:conditionalFormatting xmlns:xm="http://schemas.microsoft.com/office/excel/2006/main">
          <x14:cfRule type="expression" priority="11" id="{FE1D3623-B2B6-4EC0-9B1F-31744AB80270}">
            <xm:f>Applicants!$J$7="Private/Resi Stock"</xm:f>
            <x14:dxf>
              <font>
                <color theme="0"/>
              </font>
              <fill>
                <patternFill>
                  <bgColor theme="0"/>
                </patternFill>
              </fill>
            </x14:dxf>
          </x14:cfRule>
          <xm:sqref>F4</xm:sqref>
        </x14:conditionalFormatting>
        <x14:conditionalFormatting xmlns:xm="http://schemas.microsoft.com/office/excel/2006/main">
          <x14:cfRule type="expression" priority="12" id="{E02099DC-499A-4D85-BCED-62E6598087DE}">
            <xm:f>OR(Applicants!$J$7="Private/Resi Stock",Applicants!$J$3="Lease Doc")</xm:f>
            <x14:dxf>
              <font>
                <color theme="0"/>
              </font>
              <fill>
                <patternFill>
                  <bgColor theme="0"/>
                </patternFill>
              </fill>
            </x14:dxf>
          </x14:cfRule>
          <xm:sqref>G4</xm:sqref>
        </x14:conditionalFormatting>
        <x14:conditionalFormatting xmlns:xm="http://schemas.microsoft.com/office/excel/2006/main">
          <x14:cfRule type="expression" priority="10" id="{C19A3D8E-8F29-4D49-89FE-AE05964243A9}">
            <xm:f>Applicants!$J$7="Private/Resi Stock"</xm:f>
            <x14:dxf>
              <font>
                <color theme="0"/>
              </font>
              <fill>
                <patternFill>
                  <bgColor theme="0"/>
                </patternFill>
              </fill>
            </x14:dxf>
          </x14:cfRule>
          <xm:sqref>G5</xm:sqref>
        </x14:conditionalFormatting>
        <x14:conditionalFormatting xmlns:xm="http://schemas.microsoft.com/office/excel/2006/main">
          <x14:cfRule type="expression" priority="59" id="{423000C6-EFD4-4B84-99A6-6993DA62D8FB}">
            <xm:f>OR(AND(Applicants!$J$7="Commercial",Applicants!$J$9="No"),AND(Applicants!$J$7="Residential",Applicants!$J$9="No",Applicants!$J$11="&gt; $500,000"),Applicants!$J$7="Private/Resi Stock")</xm:f>
            <x14:dxf>
              <font>
                <color theme="0"/>
              </font>
              <fill>
                <patternFill>
                  <bgColor theme="0"/>
                </patternFill>
              </fill>
            </x14:dxf>
          </x14:cfRule>
          <xm:sqref>I4 I7:I18</xm:sqref>
        </x14:conditionalFormatting>
        <x14:conditionalFormatting xmlns:xm="http://schemas.microsoft.com/office/excel/2006/main">
          <x14:cfRule type="expression" priority="42" id="{EF0D2DE4-FB48-49DB-A9E4-99FE6C309A91}">
            <xm:f>OR(Applicants!$J$3&lt;&gt;"Full Doc",Applicants!$J$7&lt;&gt;"Residential")</xm:f>
            <x14:dxf>
              <font>
                <color theme="0"/>
              </font>
              <fill>
                <patternFill>
                  <bgColor theme="0"/>
                </patternFill>
              </fill>
            </x14:dxf>
          </x14:cfRule>
          <xm:sqref>J2:K2</xm:sqref>
        </x14:conditionalFormatting>
        <x14:conditionalFormatting xmlns:xm="http://schemas.microsoft.com/office/excel/2006/main">
          <x14:cfRule type="expression" priority="14" id="{D23A0339-4945-4DA8-B872-CEC43E31B971}">
            <xm:f>OR(AND(Applicants!$J$7="Commercial",Applicants!$J$9="No"),AND(Applicants!$J$7="Residential",Applicants!$J$9="No",Applicants!$J$11="&gt; $500,000"),Applicants!$J$7="Private/Resi Stock")</xm:f>
            <x14:dxf>
              <font>
                <color theme="0"/>
              </font>
              <fill>
                <patternFill>
                  <bgColor theme="0"/>
                </patternFill>
              </fill>
              <border>
                <left style="thin">
                  <color auto="1"/>
                </left>
                <right/>
                <top/>
                <bottom/>
                <vertical/>
                <horizontal/>
              </border>
            </x14:dxf>
          </x14:cfRule>
          <xm:sqref>P22:P35</xm:sqref>
        </x14:conditionalFormatting>
        <x14:conditionalFormatting xmlns:xm="http://schemas.microsoft.com/office/excel/2006/main">
          <x14:cfRule type="expression" priority="13" id="{CD5CA490-B5ED-43FB-8BC6-642973968FCE}">
            <xm:f>Applicants!$J$5="Yes"</xm:f>
            <x14:dxf>
              <font>
                <color theme="0"/>
              </font>
              <fill>
                <patternFill>
                  <bgColor theme="0"/>
                </patternFill>
              </fill>
              <border>
                <left/>
                <right/>
                <top/>
                <bottom/>
              </border>
            </x14:dxf>
          </x14:cfRule>
          <xm:sqref>P35</xm:sqref>
        </x14:conditionalFormatting>
        <x14:conditionalFormatting xmlns:xm="http://schemas.microsoft.com/office/excel/2006/main">
          <x14:cfRule type="expression" priority="15" id="{843FDCCE-A0ED-4C58-9213-8AA4D0DA31F2}">
            <xm:f>OR(AND(Applicants!$J$7="Commercial",Applicants!$J$9="No"),AND(Applicants!$J$7="Residential",Applicants!$J$9="No",Applicants!$J$11="&gt; $500,000"),Applicants!$J$7="Private/Resi Stock")</xm:f>
            <x14:dxf>
              <font>
                <color theme="0"/>
              </font>
              <fill>
                <patternFill>
                  <bgColor theme="0"/>
                </patternFill>
              </fill>
              <border>
                <left/>
                <right/>
                <top/>
                <bottom/>
              </border>
            </x14:dxf>
          </x14:cfRule>
          <xm:sqref>Q22:Q35</xm:sqref>
        </x14:conditionalFormatting>
        <x14:conditionalFormatting xmlns:xm="http://schemas.microsoft.com/office/excel/2006/main">
          <x14:cfRule type="expression" priority="41" id="{8F7FB1C1-445A-4FE9-BF08-2905528F1A7F}">
            <xm:f>OR(Applicants!$J$7&lt;&gt;"Residential",Applicants!$J$3&lt;&gt;"Full Doc")</xm:f>
            <x14:dxf>
              <fill>
                <patternFill>
                  <bgColor theme="0"/>
                </patternFill>
              </fill>
              <border>
                <left/>
                <right/>
                <top/>
                <bottom/>
                <vertical/>
                <horizontal/>
              </border>
            </x14:dxf>
          </x14:cfRule>
          <x14:cfRule type="expression" priority="9" id="{341DCADD-0D35-44F9-BE0D-CAC05D319737}">
            <xm:f>OR(AND(Applicants!$J$7="Commercial",Applicants!$J$9="No"),AND(Applicants!$J$7="Residential",Applicants!$J$9="No",Applicants!$J$11="&gt; $500,000"),Applicants!$J$7="Private/Resi Stock")=FALSE</xm:f>
            <x14:dxf>
              <fill>
                <patternFill>
                  <bgColor theme="0"/>
                </patternFill>
              </fill>
              <border>
                <left style="thin">
                  <color auto="1"/>
                </left>
              </border>
            </x14:dxf>
          </x14:cfRule>
          <xm:sqref>R22:R35</xm:sqref>
        </x14:conditionalFormatting>
        <x14:conditionalFormatting xmlns:xm="http://schemas.microsoft.com/office/excel/2006/main">
          <x14:cfRule type="expression" priority="43" id="{C199CB10-01B8-4BC7-9FC5-B3FE431F614F}">
            <xm:f>Applicants!$J$5="Yes"</xm:f>
            <x14:dxf>
              <font>
                <color theme="0"/>
              </font>
              <fill>
                <patternFill>
                  <bgColor theme="0"/>
                </patternFill>
              </fill>
              <border>
                <left/>
                <right/>
                <top/>
                <bottom/>
              </border>
            </x14:dxf>
          </x14:cfRule>
          <xm:sqref>R35</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CBF3C-0894-4CFB-B42A-8BB8D44E9E03}">
  <sheetPr codeName="Sheet13">
    <tabColor theme="1"/>
    <pageSetUpPr autoPageBreaks="0"/>
  </sheetPr>
  <dimension ref="B2:AR2907"/>
  <sheetViews>
    <sheetView showGridLines="0" zoomScaleNormal="100" workbookViewId="0">
      <selection activeCell="U20" sqref="U20"/>
    </sheetView>
  </sheetViews>
  <sheetFormatPr defaultColWidth="8" defaultRowHeight="12.75" x14ac:dyDescent="0.2"/>
  <cols>
    <col min="1" max="1" width="14.7109375" style="3" customWidth="1"/>
    <col min="2" max="2" width="3" style="3" customWidth="1"/>
    <col min="3" max="3" width="34.5703125" style="3" customWidth="1"/>
    <col min="4" max="4" width="18.5703125" style="3" customWidth="1"/>
    <col min="5" max="7" width="14.7109375" style="3" customWidth="1"/>
    <col min="8" max="8" width="2.85546875" style="3" customWidth="1"/>
    <col min="9" max="9" width="2.42578125" style="3" customWidth="1"/>
    <col min="10" max="10" width="3.7109375" style="3" customWidth="1"/>
    <col min="11" max="11" width="14.7109375" style="3" customWidth="1"/>
    <col min="12" max="12" width="11.85546875" style="3" customWidth="1"/>
    <col min="13" max="14" width="12.7109375" style="3" customWidth="1"/>
    <col min="15" max="16" width="12.42578125" style="3" bestFit="1" customWidth="1"/>
    <col min="17" max="17" width="8.85546875" style="3" bestFit="1" customWidth="1"/>
    <col min="18" max="18" width="14.7109375" style="3" customWidth="1"/>
    <col min="19" max="19" width="11.5703125" style="3" bestFit="1" customWidth="1"/>
    <col min="20" max="20" width="3.140625" style="3" customWidth="1"/>
    <col min="21" max="22" width="4.42578125" style="3" customWidth="1"/>
    <col min="23" max="23" width="11.28515625" style="3" hidden="1" customWidth="1"/>
    <col min="24" max="24" width="10.140625" style="3" hidden="1" customWidth="1"/>
    <col min="25" max="25" width="7.42578125" style="3" hidden="1" customWidth="1"/>
    <col min="26" max="26" width="8" style="3" hidden="1" customWidth="1"/>
    <col min="27" max="27" width="4.42578125" style="3" hidden="1" customWidth="1"/>
    <col min="28" max="29" width="10.7109375" style="3" hidden="1" customWidth="1"/>
    <col min="30" max="30" width="12" style="3" hidden="1" customWidth="1"/>
    <col min="31" max="31" width="17.7109375" style="3" hidden="1" customWidth="1"/>
    <col min="32" max="32" width="10.85546875" style="3" hidden="1" customWidth="1"/>
    <col min="33" max="33" width="8.140625" style="3" hidden="1" customWidth="1"/>
    <col min="34" max="35" width="11.42578125" style="3" hidden="1" customWidth="1"/>
    <col min="36" max="36" width="8" style="3" hidden="1" customWidth="1"/>
    <col min="37" max="38" width="8" style="3" customWidth="1"/>
    <col min="39" max="16384" width="8" style="3"/>
  </cols>
  <sheetData>
    <row r="2" spans="2:34" ht="18" customHeight="1" x14ac:dyDescent="0.2">
      <c r="G2" s="507" t="str">
        <f>_xlfn.XLOOKUP(Branding,Assumptions!C2899:C2913,Assumptions!G2899:G2913) &amp; " SMSF Loan Serviceability Calculator"</f>
        <v>ThinkTank SMSF Loan Serviceability Calculator</v>
      </c>
    </row>
    <row r="3" spans="2:34" ht="18" customHeight="1" x14ac:dyDescent="0.2"/>
    <row r="4" spans="2:34" ht="20.25" x14ac:dyDescent="0.2">
      <c r="B4" s="508"/>
      <c r="C4" s="509" t="s">
        <v>66</v>
      </c>
      <c r="D4" s="799">
        <f ca="1">TODAY()</f>
        <v>46237</v>
      </c>
      <c r="E4" s="799"/>
      <c r="F4" s="510"/>
      <c r="G4" s="510"/>
      <c r="H4" s="511"/>
      <c r="I4" s="512"/>
      <c r="J4" s="513"/>
      <c r="K4" s="514" t="s">
        <v>18</v>
      </c>
      <c r="L4" s="515"/>
      <c r="M4" s="515"/>
      <c r="N4" s="515"/>
      <c r="O4" s="515"/>
      <c r="P4" s="515"/>
      <c r="Q4" s="515"/>
      <c r="R4" s="515"/>
      <c r="S4" s="515"/>
      <c r="T4" s="516"/>
      <c r="V4" s="517"/>
      <c r="AH4" s="512"/>
    </row>
    <row r="5" spans="2:34" ht="5.0999999999999996" customHeight="1" x14ac:dyDescent="0.2">
      <c r="B5" s="518"/>
      <c r="D5" s="78"/>
      <c r="E5" s="78"/>
      <c r="F5" s="78"/>
      <c r="G5" s="78"/>
      <c r="H5" s="519"/>
      <c r="I5" s="512"/>
      <c r="J5" s="520"/>
      <c r="K5"/>
      <c r="L5"/>
      <c r="M5"/>
      <c r="N5"/>
      <c r="O5"/>
      <c r="P5"/>
      <c r="Q5"/>
      <c r="R5"/>
      <c r="S5"/>
      <c r="T5" s="521"/>
    </row>
    <row r="6" spans="2:34" ht="18" customHeight="1" x14ac:dyDescent="0.2">
      <c r="B6" s="518"/>
      <c r="C6" s="522" t="s">
        <v>337</v>
      </c>
      <c r="D6" s="797"/>
      <c r="E6" s="797"/>
      <c r="F6" s="797"/>
      <c r="H6" s="519"/>
      <c r="I6" s="512"/>
      <c r="J6" s="520"/>
      <c r="K6" s="798"/>
      <c r="L6" s="798"/>
      <c r="M6" s="798"/>
      <c r="N6" s="798"/>
      <c r="O6" s="798"/>
      <c r="P6" s="798"/>
      <c r="Q6" s="798"/>
      <c r="R6" s="798"/>
      <c r="S6" s="798"/>
      <c r="T6" s="521"/>
    </row>
    <row r="7" spans="2:34" ht="5.0999999999999996" customHeight="1" x14ac:dyDescent="0.2">
      <c r="B7" s="523"/>
      <c r="H7" s="519"/>
      <c r="I7" s="512"/>
      <c r="J7" s="520"/>
      <c r="K7"/>
      <c r="L7"/>
      <c r="M7"/>
      <c r="N7"/>
      <c r="O7"/>
      <c r="P7"/>
      <c r="Q7"/>
      <c r="R7"/>
      <c r="S7"/>
      <c r="T7" s="521"/>
    </row>
    <row r="8" spans="2:34" ht="18" customHeight="1" x14ac:dyDescent="0.2">
      <c r="B8" s="524"/>
      <c r="C8" s="525" t="s">
        <v>338</v>
      </c>
      <c r="D8" s="797"/>
      <c r="E8" s="797"/>
      <c r="F8" s="797"/>
      <c r="H8" s="519"/>
      <c r="I8" s="512"/>
      <c r="J8" s="520"/>
      <c r="K8" s="798"/>
      <c r="L8" s="798"/>
      <c r="M8" s="798"/>
      <c r="N8" s="798"/>
      <c r="O8" s="798"/>
      <c r="P8" s="798"/>
      <c r="Q8" s="798"/>
      <c r="R8" s="798"/>
      <c r="S8" s="798"/>
      <c r="T8" s="521"/>
    </row>
    <row r="9" spans="2:34" ht="5.0999999999999996" customHeight="1" x14ac:dyDescent="0.2">
      <c r="B9" s="526"/>
      <c r="H9" s="519"/>
      <c r="I9" s="512"/>
      <c r="J9" s="520"/>
      <c r="K9"/>
      <c r="L9"/>
      <c r="M9"/>
      <c r="N9"/>
      <c r="O9"/>
      <c r="P9"/>
      <c r="Q9"/>
      <c r="R9"/>
      <c r="S9"/>
      <c r="T9" s="521"/>
    </row>
    <row r="10" spans="2:34" ht="18" customHeight="1" x14ac:dyDescent="0.2">
      <c r="B10" s="526"/>
      <c r="C10" s="525" t="s">
        <v>339</v>
      </c>
      <c r="D10" s="797"/>
      <c r="E10" s="797"/>
      <c r="F10" s="797"/>
      <c r="H10" s="519"/>
      <c r="I10" s="512"/>
      <c r="J10" s="520"/>
      <c r="K10" s="798"/>
      <c r="L10" s="798"/>
      <c r="M10" s="798"/>
      <c r="N10" s="798"/>
      <c r="O10" s="798"/>
      <c r="P10" s="798"/>
      <c r="Q10" s="798"/>
      <c r="R10" s="798"/>
      <c r="S10" s="798"/>
      <c r="T10" s="521"/>
    </row>
    <row r="11" spans="2:34" ht="5.0999999999999996" customHeight="1" x14ac:dyDescent="0.2">
      <c r="B11" s="526"/>
      <c r="H11" s="519"/>
      <c r="I11" s="512"/>
      <c r="J11" s="520"/>
      <c r="K11"/>
      <c r="L11"/>
      <c r="M11"/>
      <c r="N11"/>
      <c r="O11"/>
      <c r="P11"/>
      <c r="Q11"/>
      <c r="R11"/>
      <c r="S11"/>
      <c r="T11" s="521"/>
    </row>
    <row r="12" spans="2:34" ht="18" customHeight="1" x14ac:dyDescent="0.2">
      <c r="B12" s="526"/>
      <c r="C12" s="525" t="s">
        <v>340</v>
      </c>
      <c r="D12" s="797"/>
      <c r="E12" s="797"/>
      <c r="F12" s="797"/>
      <c r="H12" s="519"/>
      <c r="I12" s="512"/>
      <c r="J12" s="520"/>
      <c r="K12" s="798"/>
      <c r="L12" s="798"/>
      <c r="M12" s="798"/>
      <c r="N12" s="798"/>
      <c r="O12" s="798"/>
      <c r="P12" s="798"/>
      <c r="Q12" s="798"/>
      <c r="R12" s="798"/>
      <c r="S12" s="798"/>
      <c r="T12" s="521"/>
    </row>
    <row r="13" spans="2:34" ht="5.0999999999999996" customHeight="1" x14ac:dyDescent="0.2">
      <c r="B13" s="526"/>
      <c r="H13" s="519"/>
      <c r="I13" s="512"/>
      <c r="J13" s="520"/>
      <c r="K13"/>
      <c r="L13"/>
      <c r="M13"/>
      <c r="N13"/>
      <c r="O13"/>
      <c r="P13"/>
      <c r="Q13"/>
      <c r="R13"/>
      <c r="S13"/>
      <c r="T13" s="521"/>
    </row>
    <row r="14" spans="2:34" ht="18" customHeight="1" x14ac:dyDescent="0.2">
      <c r="B14" s="526"/>
      <c r="C14" s="525" t="s">
        <v>341</v>
      </c>
      <c r="D14" s="797"/>
      <c r="E14" s="797"/>
      <c r="F14" s="797"/>
      <c r="H14" s="519"/>
      <c r="I14" s="512"/>
      <c r="J14" s="520"/>
      <c r="K14" s="798"/>
      <c r="L14" s="798"/>
      <c r="M14" s="798"/>
      <c r="N14" s="798"/>
      <c r="O14" s="798"/>
      <c r="P14" s="798"/>
      <c r="Q14" s="798"/>
      <c r="R14" s="798"/>
      <c r="S14" s="798"/>
      <c r="T14" s="521"/>
    </row>
    <row r="15" spans="2:34" ht="5.0999999999999996" customHeight="1" x14ac:dyDescent="0.2">
      <c r="B15" s="526"/>
      <c r="H15" s="519"/>
      <c r="I15" s="512"/>
      <c r="J15" s="520"/>
      <c r="K15"/>
      <c r="L15"/>
      <c r="M15"/>
      <c r="N15"/>
      <c r="O15"/>
      <c r="P15"/>
      <c r="Q15"/>
      <c r="R15"/>
      <c r="S15"/>
      <c r="T15" s="521"/>
    </row>
    <row r="16" spans="2:34" ht="18" customHeight="1" x14ac:dyDescent="0.2">
      <c r="B16" s="526"/>
      <c r="C16" s="525" t="s">
        <v>342</v>
      </c>
      <c r="D16" s="797"/>
      <c r="E16" s="797"/>
      <c r="F16" s="797"/>
      <c r="H16" s="519"/>
      <c r="I16" s="512"/>
      <c r="J16" s="520"/>
      <c r="K16" s="798"/>
      <c r="L16" s="798"/>
      <c r="M16" s="798"/>
      <c r="N16" s="798"/>
      <c r="O16" s="798"/>
      <c r="P16" s="798"/>
      <c r="Q16" s="798"/>
      <c r="R16" s="798"/>
      <c r="S16" s="798"/>
      <c r="T16" s="521"/>
    </row>
    <row r="17" spans="2:26" ht="5.0999999999999996" customHeight="1" x14ac:dyDescent="0.2">
      <c r="B17" s="526"/>
      <c r="H17" s="519"/>
      <c r="I17" s="512"/>
      <c r="J17" s="520"/>
      <c r="K17" s="527"/>
      <c r="L17" s="527"/>
      <c r="M17" s="527"/>
      <c r="N17" s="527"/>
      <c r="O17" s="527"/>
      <c r="P17" s="527"/>
      <c r="Q17" s="527"/>
      <c r="R17" s="527"/>
      <c r="S17" s="527"/>
      <c r="T17" s="521"/>
    </row>
    <row r="18" spans="2:26" ht="18" customHeight="1" x14ac:dyDescent="0.2">
      <c r="B18" s="526"/>
      <c r="C18" s="525" t="s">
        <v>343</v>
      </c>
      <c r="D18" s="797"/>
      <c r="E18" s="797"/>
      <c r="F18" s="797"/>
      <c r="H18" s="519"/>
      <c r="I18" s="512"/>
      <c r="J18" s="520"/>
      <c r="K18" s="798"/>
      <c r="L18" s="798"/>
      <c r="M18" s="798"/>
      <c r="N18" s="798"/>
      <c r="O18" s="798"/>
      <c r="P18" s="798"/>
      <c r="Q18" s="798"/>
      <c r="R18" s="798"/>
      <c r="S18" s="798"/>
      <c r="T18" s="521"/>
    </row>
    <row r="19" spans="2:26" ht="18" customHeight="1" x14ac:dyDescent="0.2">
      <c r="B19" s="518"/>
      <c r="H19" s="519"/>
      <c r="J19" s="528"/>
      <c r="K19" s="529"/>
      <c r="L19" s="529"/>
      <c r="M19" s="529"/>
      <c r="N19" s="529"/>
      <c r="O19" s="529"/>
      <c r="P19" s="529"/>
      <c r="Q19" s="529"/>
      <c r="R19" s="529"/>
      <c r="S19" s="529"/>
      <c r="T19" s="530"/>
    </row>
    <row r="20" spans="2:26" ht="18" customHeight="1" x14ac:dyDescent="0.2">
      <c r="B20" s="531">
        <v>1</v>
      </c>
      <c r="C20" s="532" t="s">
        <v>344</v>
      </c>
      <c r="D20" s="533"/>
      <c r="E20" s="533"/>
      <c r="F20" s="533"/>
      <c r="G20" s="533"/>
      <c r="H20" s="534"/>
      <c r="J20" s="535"/>
      <c r="K20" s="533"/>
      <c r="L20" s="533"/>
      <c r="M20" s="533"/>
      <c r="N20" s="533"/>
      <c r="O20" s="533"/>
      <c r="P20" s="533"/>
      <c r="Q20" s="533"/>
      <c r="R20" s="533"/>
      <c r="S20" s="534"/>
      <c r="T20" s="536"/>
    </row>
    <row r="21" spans="2:26" ht="18" customHeight="1" thickBot="1" x14ac:dyDescent="0.25">
      <c r="B21" s="518"/>
      <c r="C21" s="512"/>
      <c r="D21" s="512"/>
      <c r="E21" s="512"/>
      <c r="F21" s="512"/>
      <c r="G21" s="512"/>
      <c r="H21" s="519"/>
      <c r="J21" s="537"/>
      <c r="K21" s="538"/>
      <c r="L21" s="538"/>
      <c r="M21" s="538"/>
      <c r="N21" s="538"/>
      <c r="O21" s="538"/>
      <c r="P21" s="538"/>
      <c r="Q21" s="538"/>
      <c r="T21" s="519"/>
    </row>
    <row r="22" spans="2:26" ht="18" customHeight="1" thickTop="1" x14ac:dyDescent="0.2">
      <c r="B22" s="537"/>
      <c r="C22" s="539" t="s">
        <v>345</v>
      </c>
      <c r="D22" s="540">
        <f>E22-1</f>
        <v>2025</v>
      </c>
      <c r="E22" s="540">
        <f>YEAR('Properties &amp; Ind Income'!L3)</f>
        <v>2026</v>
      </c>
      <c r="F22" s="806" t="s">
        <v>346</v>
      </c>
      <c r="G22" s="807"/>
      <c r="H22" s="519"/>
      <c r="J22" s="518"/>
      <c r="K22" s="539" t="s">
        <v>347</v>
      </c>
      <c r="L22" s="541"/>
      <c r="M22" s="540">
        <f>D$22</f>
        <v>2025</v>
      </c>
      <c r="N22" s="540">
        <f>E$22</f>
        <v>2026</v>
      </c>
      <c r="O22" s="806" t="s">
        <v>348</v>
      </c>
      <c r="P22" s="806"/>
      <c r="Q22" s="808" t="s">
        <v>227</v>
      </c>
      <c r="R22" s="808"/>
      <c r="S22" s="809"/>
      <c r="T22" s="519"/>
      <c r="W22" s="544" t="s">
        <v>349</v>
      </c>
      <c r="X22" s="544" t="s">
        <v>24</v>
      </c>
      <c r="Y22" s="544" t="s">
        <v>350</v>
      </c>
      <c r="Z22" s="544" t="s">
        <v>351</v>
      </c>
    </row>
    <row r="23" spans="2:26" ht="18" customHeight="1" x14ac:dyDescent="0.2">
      <c r="B23" s="518"/>
      <c r="C23" s="545" t="s">
        <v>338</v>
      </c>
      <c r="D23" s="546"/>
      <c r="E23" s="546"/>
      <c r="F23" s="800"/>
      <c r="G23" s="801"/>
      <c r="H23" s="519"/>
      <c r="J23" s="518"/>
      <c r="K23" s="547" t="s">
        <v>352</v>
      </c>
      <c r="L23" s="548"/>
      <c r="M23" s="549"/>
      <c r="N23" s="546"/>
      <c r="O23" s="800"/>
      <c r="P23" s="802"/>
      <c r="Q23" s="803"/>
      <c r="R23" s="804"/>
      <c r="S23" s="805"/>
      <c r="T23" s="519"/>
      <c r="W23" s="550">
        <f t="shared" ref="W23:W28" si="0">IF(F23="",E23,F23)</f>
        <v>0</v>
      </c>
      <c r="X23" s="550">
        <f>IF(O23="",N23,O23)</f>
        <v>0</v>
      </c>
      <c r="Y23" s="550">
        <f t="shared" ref="Y23:Y28" si="1">IF(F41="",E41,F41)</f>
        <v>0</v>
      </c>
      <c r="Z23" s="550">
        <f>IF(F50="",E50,F50)</f>
        <v>0</v>
      </c>
    </row>
    <row r="24" spans="2:26" ht="18" customHeight="1" x14ac:dyDescent="0.2">
      <c r="B24" s="518"/>
      <c r="C24" s="545" t="s">
        <v>339</v>
      </c>
      <c r="D24" s="551"/>
      <c r="E24" s="552"/>
      <c r="F24" s="810"/>
      <c r="G24" s="811"/>
      <c r="H24" s="519"/>
      <c r="J24" s="518"/>
      <c r="K24" s="547" t="s">
        <v>353</v>
      </c>
      <c r="L24" s="553"/>
      <c r="M24" s="551"/>
      <c r="N24" s="552"/>
      <c r="O24" s="810"/>
      <c r="P24" s="812"/>
      <c r="Q24" s="813"/>
      <c r="R24" s="814"/>
      <c r="S24" s="815"/>
      <c r="T24" s="519"/>
      <c r="W24" s="550">
        <f t="shared" si="0"/>
        <v>0</v>
      </c>
      <c r="X24" s="550">
        <f>IF(O24="",N24,O24)</f>
        <v>0</v>
      </c>
      <c r="Y24" s="550">
        <f t="shared" si="1"/>
        <v>0</v>
      </c>
      <c r="Z24" s="550">
        <f>IF(F51="",E51,F51)</f>
        <v>0</v>
      </c>
    </row>
    <row r="25" spans="2:26" ht="18" customHeight="1" x14ac:dyDescent="0.2">
      <c r="B25" s="518"/>
      <c r="C25" s="545" t="s">
        <v>340</v>
      </c>
      <c r="D25" s="551"/>
      <c r="E25" s="552"/>
      <c r="F25" s="810"/>
      <c r="G25" s="811"/>
      <c r="H25" s="519"/>
      <c r="J25" s="518"/>
      <c r="K25" s="547" t="s">
        <v>354</v>
      </c>
      <c r="L25" s="553"/>
      <c r="M25" s="551"/>
      <c r="N25" s="552"/>
      <c r="O25" s="810"/>
      <c r="P25" s="812"/>
      <c r="Q25" s="813"/>
      <c r="R25" s="814"/>
      <c r="S25" s="815"/>
      <c r="T25" s="519"/>
      <c r="W25" s="550">
        <f t="shared" si="0"/>
        <v>0</v>
      </c>
      <c r="X25" s="550">
        <f>IF(O25="",N25,O25)</f>
        <v>0</v>
      </c>
      <c r="Y25" s="550">
        <f t="shared" si="1"/>
        <v>0</v>
      </c>
      <c r="Z25" s="550">
        <f>IF(F52="",E52,F52)</f>
        <v>0</v>
      </c>
    </row>
    <row r="26" spans="2:26" ht="18" customHeight="1" x14ac:dyDescent="0.2">
      <c r="B26" s="518"/>
      <c r="C26" s="545" t="s">
        <v>341</v>
      </c>
      <c r="D26" s="551"/>
      <c r="E26" s="552"/>
      <c r="F26" s="810"/>
      <c r="G26" s="811"/>
      <c r="H26" s="519"/>
      <c r="J26" s="518"/>
      <c r="K26" s="547" t="s">
        <v>355</v>
      </c>
      <c r="L26" s="553"/>
      <c r="M26" s="551"/>
      <c r="N26" s="552"/>
      <c r="O26" s="810"/>
      <c r="P26" s="812"/>
      <c r="Q26" s="813"/>
      <c r="R26" s="814"/>
      <c r="S26" s="815"/>
      <c r="T26" s="519"/>
      <c r="W26" s="550">
        <f t="shared" si="0"/>
        <v>0</v>
      </c>
      <c r="X26" s="550">
        <f>IF(O26="",N26,O26)</f>
        <v>0</v>
      </c>
      <c r="Y26" s="550">
        <f t="shared" si="1"/>
        <v>0</v>
      </c>
      <c r="Z26" s="550">
        <f>IF(F53="",E53,F53)</f>
        <v>0</v>
      </c>
    </row>
    <row r="27" spans="2:26" ht="18" customHeight="1" x14ac:dyDescent="0.2">
      <c r="B27" s="518"/>
      <c r="C27" s="545" t="s">
        <v>342</v>
      </c>
      <c r="D27" s="551"/>
      <c r="E27" s="552"/>
      <c r="F27" s="810"/>
      <c r="G27" s="811"/>
      <c r="H27" s="519"/>
      <c r="J27" s="518"/>
      <c r="K27" s="547" t="s">
        <v>356</v>
      </c>
      <c r="L27" s="556"/>
      <c r="M27" s="551"/>
      <c r="N27" s="552"/>
      <c r="O27" s="810"/>
      <c r="P27" s="812"/>
      <c r="Q27" s="813"/>
      <c r="R27" s="814"/>
      <c r="S27" s="815"/>
      <c r="T27" s="519"/>
      <c r="W27" s="550">
        <f t="shared" si="0"/>
        <v>0</v>
      </c>
      <c r="X27" s="550">
        <f t="shared" ref="X27:X31" si="2">IF(O27="",N27,O27)</f>
        <v>0</v>
      </c>
      <c r="Y27" s="550">
        <f t="shared" si="1"/>
        <v>0</v>
      </c>
      <c r="Z27" s="550"/>
    </row>
    <row r="28" spans="2:26" ht="18" customHeight="1" thickBot="1" x14ac:dyDescent="0.25">
      <c r="B28" s="518"/>
      <c r="C28" s="545" t="s">
        <v>343</v>
      </c>
      <c r="D28" s="557"/>
      <c r="E28" s="558"/>
      <c r="F28" s="818"/>
      <c r="G28" s="819"/>
      <c r="H28" s="519"/>
      <c r="J28" s="518"/>
      <c r="K28" s="547" t="s">
        <v>357</v>
      </c>
      <c r="L28" s="556"/>
      <c r="M28" s="551"/>
      <c r="N28" s="552"/>
      <c r="O28" s="810"/>
      <c r="P28" s="812"/>
      <c r="Q28" s="813"/>
      <c r="R28" s="814"/>
      <c r="S28" s="815"/>
      <c r="T28" s="519"/>
      <c r="W28" s="550">
        <f t="shared" si="0"/>
        <v>0</v>
      </c>
      <c r="X28" s="550">
        <f t="shared" si="2"/>
        <v>0</v>
      </c>
      <c r="Y28" s="550">
        <f t="shared" si="1"/>
        <v>0</v>
      </c>
      <c r="Z28" s="550"/>
    </row>
    <row r="29" spans="2:26" ht="18" customHeight="1" thickTop="1" thickBot="1" x14ac:dyDescent="0.25">
      <c r="B29" s="518"/>
      <c r="C29" s="559" t="s">
        <v>358</v>
      </c>
      <c r="D29" s="560">
        <f>SUM(D23:D28)</f>
        <v>0</v>
      </c>
      <c r="E29" s="561">
        <f>SUM(E23:E28)</f>
        <v>0</v>
      </c>
      <c r="F29" s="820">
        <f>SUM(W23:W28)</f>
        <v>0</v>
      </c>
      <c r="G29" s="821"/>
      <c r="H29" s="519"/>
      <c r="J29" s="518"/>
      <c r="K29" s="547" t="s">
        <v>359</v>
      </c>
      <c r="L29" s="556"/>
      <c r="M29" s="551"/>
      <c r="N29" s="552"/>
      <c r="O29" s="810"/>
      <c r="P29" s="812"/>
      <c r="Q29" s="813"/>
      <c r="R29" s="814"/>
      <c r="S29" s="815"/>
      <c r="T29" s="519"/>
      <c r="X29" s="550">
        <f t="shared" si="2"/>
        <v>0</v>
      </c>
    </row>
    <row r="30" spans="2:26" ht="18" customHeight="1" thickTop="1" thickBot="1" x14ac:dyDescent="0.25">
      <c r="B30" s="518"/>
      <c r="C30" s="562"/>
      <c r="D30" s="544"/>
      <c r="E30" s="544"/>
      <c r="F30" s="544"/>
      <c r="G30" s="544"/>
      <c r="H30" s="563"/>
      <c r="J30" s="564"/>
      <c r="K30" s="547" t="s">
        <v>360</v>
      </c>
      <c r="L30" s="556"/>
      <c r="M30" s="551"/>
      <c r="N30" s="552"/>
      <c r="O30" s="810"/>
      <c r="P30" s="812"/>
      <c r="Q30" s="813"/>
      <c r="R30" s="814"/>
      <c r="S30" s="815"/>
      <c r="T30" s="519"/>
      <c r="X30" s="550">
        <f t="shared" si="2"/>
        <v>0</v>
      </c>
    </row>
    <row r="31" spans="2:26" ht="18" customHeight="1" thickTop="1" thickBot="1" x14ac:dyDescent="0.25">
      <c r="B31" s="518"/>
      <c r="C31" s="539" t="s">
        <v>361</v>
      </c>
      <c r="D31" s="540"/>
      <c r="E31" s="540"/>
      <c r="F31" s="806"/>
      <c r="G31" s="807"/>
      <c r="H31" s="565"/>
      <c r="J31" s="518"/>
      <c r="K31" s="547" t="s">
        <v>362</v>
      </c>
      <c r="L31" s="556"/>
      <c r="M31" s="557"/>
      <c r="N31" s="558"/>
      <c r="O31" s="822"/>
      <c r="P31" s="823"/>
      <c r="Q31" s="824"/>
      <c r="R31" s="825"/>
      <c r="S31" s="826"/>
      <c r="T31" s="519"/>
      <c r="X31" s="550">
        <f t="shared" si="2"/>
        <v>0</v>
      </c>
    </row>
    <row r="32" spans="2:26" ht="18" customHeight="1" thickTop="1" thickBot="1" x14ac:dyDescent="0.25">
      <c r="B32" s="518"/>
      <c r="C32" s="567" t="s">
        <v>363</v>
      </c>
      <c r="D32" s="568"/>
      <c r="E32" s="569"/>
      <c r="F32" s="800"/>
      <c r="G32" s="801"/>
      <c r="H32" s="565"/>
      <c r="J32" s="518"/>
      <c r="K32" s="567" t="s">
        <v>364</v>
      </c>
      <c r="L32" s="570"/>
      <c r="M32" s="571">
        <f>SUM(M23:M31)</f>
        <v>0</v>
      </c>
      <c r="N32" s="572">
        <f>SUM(N23:N31)</f>
        <v>0</v>
      </c>
      <c r="O32" s="816">
        <f>SUM(X23:X31)</f>
        <v>0</v>
      </c>
      <c r="P32" s="817"/>
      <c r="Q32" s="573"/>
      <c r="R32" s="573"/>
      <c r="S32" s="573"/>
      <c r="T32" s="519"/>
      <c r="X32" s="550"/>
    </row>
    <row r="33" spans="2:44" ht="18" customHeight="1" thickTop="1" thickBot="1" x14ac:dyDescent="0.25">
      <c r="B33" s="518"/>
      <c r="C33" s="567" t="str">
        <f>"Expected return (max "&amp;Assumptions!G15*100&amp;"%)"</f>
        <v>Expected return (max 4%)</v>
      </c>
      <c r="D33" s="574"/>
      <c r="E33" s="575"/>
      <c r="F33" s="827"/>
      <c r="G33" s="828"/>
      <c r="H33" s="565"/>
      <c r="J33" s="518"/>
      <c r="K33" s="576" t="str">
        <f>(1-Assumptions!$B$3)*100&amp;"% for Servicing"</f>
        <v>80% for Servicing</v>
      </c>
      <c r="L33" s="577"/>
      <c r="M33" s="560"/>
      <c r="N33" s="561"/>
      <c r="O33" s="820">
        <f>O32*(1-Assumptions!$B$3)</f>
        <v>0</v>
      </c>
      <c r="P33" s="821"/>
      <c r="Q33" s="573"/>
      <c r="R33" s="573"/>
      <c r="S33" s="573"/>
      <c r="T33" s="519"/>
      <c r="X33" s="550"/>
    </row>
    <row r="34" spans="2:44" ht="18" customHeight="1" thickTop="1" x14ac:dyDescent="0.2">
      <c r="B34" s="518"/>
      <c r="C34" s="539" t="s">
        <v>365</v>
      </c>
      <c r="D34" s="540">
        <f>D$22</f>
        <v>2025</v>
      </c>
      <c r="E34" s="540">
        <f>E$22</f>
        <v>2026</v>
      </c>
      <c r="F34" s="806" t="s">
        <v>366</v>
      </c>
      <c r="G34" s="807"/>
      <c r="H34" s="565"/>
      <c r="J34" s="518"/>
      <c r="K34" s="578"/>
      <c r="Q34" s="579"/>
      <c r="R34" s="579"/>
      <c r="S34" s="579"/>
      <c r="T34" s="519"/>
      <c r="X34" s="550"/>
    </row>
    <row r="35" spans="2:44" ht="18" customHeight="1" thickBot="1" x14ac:dyDescent="0.25">
      <c r="B35" s="518"/>
      <c r="C35" s="580" t="s">
        <v>367</v>
      </c>
      <c r="D35" s="549"/>
      <c r="E35" s="546"/>
      <c r="F35" s="829"/>
      <c r="G35" s="830"/>
      <c r="H35" s="565"/>
      <c r="J35" s="518"/>
      <c r="Q35" s="579"/>
      <c r="R35" s="579"/>
      <c r="S35" s="579"/>
      <c r="T35" s="519"/>
      <c r="X35" s="550"/>
    </row>
    <row r="36" spans="2:44" ht="18" customHeight="1" thickTop="1" thickBot="1" x14ac:dyDescent="0.25">
      <c r="B36" s="518"/>
      <c r="C36" s="559" t="str">
        <f>(1-Assumptions!$G$17)*100&amp;"% for Servicing"</f>
        <v>80% for Servicing</v>
      </c>
      <c r="D36" s="560"/>
      <c r="E36" s="561"/>
      <c r="F36" s="820">
        <f>IF(F33&gt;0,MIN(F33,Assumptions!$G$15)*F32,(1-Assumptions!$G$17)*IF(F35="",E35,F35))</f>
        <v>0</v>
      </c>
      <c r="G36" s="821"/>
      <c r="H36" s="565"/>
      <c r="J36" s="518"/>
      <c r="Q36" s="579"/>
      <c r="R36" s="579"/>
      <c r="S36" s="579"/>
      <c r="T36" s="519"/>
    </row>
    <row r="37" spans="2:44" ht="18" customHeight="1" thickTop="1" x14ac:dyDescent="0.2">
      <c r="B37" s="581"/>
      <c r="C37" s="178"/>
      <c r="D37" s="178"/>
      <c r="E37" s="178"/>
      <c r="F37" s="178"/>
      <c r="G37" s="178"/>
      <c r="H37" s="582"/>
      <c r="J37" s="583"/>
      <c r="K37" s="584"/>
      <c r="L37" s="584"/>
      <c r="M37" s="584"/>
      <c r="N37" s="584"/>
      <c r="O37" s="584"/>
      <c r="P37" s="584"/>
      <c r="Q37" s="584"/>
      <c r="R37" s="178"/>
      <c r="S37" s="178"/>
      <c r="T37" s="582"/>
    </row>
    <row r="38" spans="2:44" ht="18" customHeight="1" x14ac:dyDescent="0.2">
      <c r="B38" s="531">
        <v>2</v>
      </c>
      <c r="C38" s="532" t="s">
        <v>368</v>
      </c>
      <c r="D38" s="533"/>
      <c r="E38" s="533"/>
      <c r="F38" s="533"/>
      <c r="G38" s="533"/>
      <c r="H38" s="585"/>
      <c r="J38" s="531">
        <v>3</v>
      </c>
      <c r="K38" s="532" t="s">
        <v>369</v>
      </c>
      <c r="L38" s="532"/>
      <c r="M38" s="586"/>
      <c r="N38" s="586"/>
      <c r="O38" s="586"/>
      <c r="P38" s="586"/>
      <c r="Q38" s="586"/>
      <c r="R38" s="586"/>
      <c r="S38" s="586"/>
      <c r="T38" s="585"/>
    </row>
    <row r="39" spans="2:44" ht="5.0999999999999996" customHeight="1" thickBot="1" x14ac:dyDescent="0.25">
      <c r="B39" s="587"/>
      <c r="C39" s="512"/>
      <c r="D39" s="512"/>
      <c r="E39" s="512"/>
      <c r="F39" s="512"/>
      <c r="G39" s="512"/>
      <c r="H39" s="519"/>
      <c r="I39" s="512"/>
      <c r="J39" s="587"/>
      <c r="T39" s="588"/>
      <c r="AC39" s="78" t="s">
        <v>370</v>
      </c>
    </row>
    <row r="40" spans="2:44" ht="18" customHeight="1" thickTop="1" x14ac:dyDescent="0.2">
      <c r="B40" s="589"/>
      <c r="C40" s="539" t="s">
        <v>371</v>
      </c>
      <c r="D40" s="540">
        <f>D$22</f>
        <v>2025</v>
      </c>
      <c r="E40" s="540">
        <f t="shared" ref="E40" si="3">E$22</f>
        <v>2026</v>
      </c>
      <c r="F40" s="806" t="s">
        <v>372</v>
      </c>
      <c r="G40" s="807"/>
      <c r="H40" s="590"/>
      <c r="I40" s="512"/>
      <c r="J40" s="587"/>
      <c r="K40" s="539" t="s">
        <v>373</v>
      </c>
      <c r="L40" s="542" t="s">
        <v>120</v>
      </c>
      <c r="M40" s="542" t="s">
        <v>374</v>
      </c>
      <c r="N40" s="542" t="s">
        <v>121</v>
      </c>
      <c r="O40" s="542" t="s">
        <v>130</v>
      </c>
      <c r="P40" s="543" t="s">
        <v>131</v>
      </c>
      <c r="T40" s="588"/>
      <c r="W40" s="591" t="s">
        <v>375</v>
      </c>
      <c r="X40" s="544" t="s">
        <v>376</v>
      </c>
      <c r="Y40" s="544" t="s">
        <v>377</v>
      </c>
      <c r="Z40" s="544" t="s">
        <v>378</v>
      </c>
      <c r="AA40" s="544" t="s">
        <v>379</v>
      </c>
      <c r="AB40" s="544" t="s">
        <v>380</v>
      </c>
      <c r="AC40" s="544" t="s">
        <v>381</v>
      </c>
      <c r="AD40" s="544" t="s">
        <v>382</v>
      </c>
      <c r="AE40" s="592" t="s">
        <v>383</v>
      </c>
      <c r="AF40" s="512" t="s">
        <v>384</v>
      </c>
      <c r="AG40" s="512" t="s">
        <v>385</v>
      </c>
      <c r="AH40" s="78" t="s">
        <v>42</v>
      </c>
    </row>
    <row r="41" spans="2:44" ht="18" customHeight="1" x14ac:dyDescent="0.2">
      <c r="B41" s="587"/>
      <c r="C41" s="545" t="s">
        <v>338</v>
      </c>
      <c r="D41" s="549"/>
      <c r="E41" s="546"/>
      <c r="F41" s="800"/>
      <c r="G41" s="801"/>
      <c r="H41" s="590"/>
      <c r="I41" s="512"/>
      <c r="J41" s="587"/>
      <c r="K41" s="545" t="s">
        <v>386</v>
      </c>
      <c r="L41" s="593"/>
      <c r="M41" s="594"/>
      <c r="N41" s="595"/>
      <c r="O41" s="596"/>
      <c r="P41" s="597"/>
      <c r="T41" s="588"/>
      <c r="W41" s="512" t="str">
        <f t="shared" ref="W41:W47" si="4">K41</f>
        <v>Loan 1</v>
      </c>
      <c r="X41" s="550">
        <f t="shared" ref="X41:X47" si="5">-N41</f>
        <v>0</v>
      </c>
      <c r="Y41" s="598">
        <f t="shared" ref="Y41:Y47" si="6">O41</f>
        <v>0</v>
      </c>
      <c r="Z41" s="599">
        <f>O41+IF(M41="Residential",Assumptions!$I$4,Assumptions!$G$4)</f>
        <v>0.02</v>
      </c>
      <c r="AA41" s="512"/>
      <c r="AB41" s="600">
        <f>IF($X41=0,0,MAX(PMT(O41/12,Assumptions!$B$9,X41),$P41))</f>
        <v>0</v>
      </c>
      <c r="AC41" s="600">
        <f>IF(AB41=0,0,AB41+N41*IF(M41="Commercial",Assumptions!$G$4,Assumptions!$I$4)/12)</f>
        <v>0</v>
      </c>
      <c r="AD41" s="601">
        <f>AB41*12</f>
        <v>0</v>
      </c>
      <c r="AE41" s="601">
        <f>AC41*12</f>
        <v>0</v>
      </c>
      <c r="AF41" s="602">
        <f>N41*O41</f>
        <v>0</v>
      </c>
      <c r="AG41" s="601">
        <f>AE41</f>
        <v>0</v>
      </c>
      <c r="AH41" s="512"/>
      <c r="AI41" s="512"/>
      <c r="AJ41" s="512"/>
      <c r="AK41" s="512"/>
      <c r="AL41" s="512"/>
      <c r="AM41" s="512"/>
      <c r="AN41" s="512"/>
      <c r="AO41" s="512"/>
      <c r="AP41" s="512"/>
      <c r="AQ41" s="512"/>
      <c r="AR41" s="512"/>
    </row>
    <row r="42" spans="2:44" ht="18" customHeight="1" x14ac:dyDescent="0.2">
      <c r="B42" s="587"/>
      <c r="C42" s="545" t="s">
        <v>339</v>
      </c>
      <c r="D42" s="551"/>
      <c r="E42" s="552"/>
      <c r="F42" s="810"/>
      <c r="G42" s="811"/>
      <c r="H42" s="519"/>
      <c r="I42" s="512"/>
      <c r="J42" s="587"/>
      <c r="K42" s="545" t="s">
        <v>387</v>
      </c>
      <c r="L42" s="603"/>
      <c r="M42" s="604"/>
      <c r="N42" s="554"/>
      <c r="O42" s="605"/>
      <c r="P42" s="606"/>
      <c r="T42" s="588"/>
      <c r="W42" s="512" t="str">
        <f t="shared" si="4"/>
        <v>Loan 2</v>
      </c>
      <c r="X42" s="550">
        <f t="shared" si="5"/>
        <v>0</v>
      </c>
      <c r="Y42" s="598">
        <f t="shared" si="6"/>
        <v>0</v>
      </c>
      <c r="Z42" s="599">
        <f>O42+IF(M42="Residential",Assumptions!$I$4,Assumptions!$G$4)</f>
        <v>0.02</v>
      </c>
      <c r="AA42" s="512"/>
      <c r="AB42" s="600">
        <f>IF($X42=0,0,MAX(PMT(O42/12,Assumptions!$B$9,X42),$P42))</f>
        <v>0</v>
      </c>
      <c r="AC42" s="600">
        <f>IF(AB42=0,0,AB42+N42*IF(M42="Commercial",Assumptions!$G$4,Assumptions!$I$4)/12)</f>
        <v>0</v>
      </c>
      <c r="AD42" s="601">
        <f t="shared" ref="AD42:AE47" si="7">AB42*12</f>
        <v>0</v>
      </c>
      <c r="AE42" s="601">
        <f t="shared" si="7"/>
        <v>0</v>
      </c>
      <c r="AF42" s="602">
        <f t="shared" ref="AF42:AF47" si="8">N42*O42</f>
        <v>0</v>
      </c>
      <c r="AG42" s="601">
        <f t="shared" ref="AG42:AG47" si="9">AE42</f>
        <v>0</v>
      </c>
      <c r="AH42" s="512"/>
      <c r="AI42" s="512"/>
      <c r="AJ42" s="512"/>
      <c r="AK42" s="512"/>
      <c r="AL42" s="512"/>
      <c r="AM42" s="512"/>
      <c r="AN42" s="512"/>
      <c r="AO42" s="512"/>
      <c r="AP42" s="512"/>
      <c r="AQ42" s="512"/>
      <c r="AR42" s="512"/>
    </row>
    <row r="43" spans="2:44" ht="18" customHeight="1" x14ac:dyDescent="0.2">
      <c r="B43" s="587"/>
      <c r="C43" s="545" t="s">
        <v>340</v>
      </c>
      <c r="D43" s="551"/>
      <c r="E43" s="552"/>
      <c r="F43" s="810"/>
      <c r="G43" s="811"/>
      <c r="H43" s="519"/>
      <c r="I43" s="512"/>
      <c r="J43" s="587"/>
      <c r="K43" s="545" t="s">
        <v>388</v>
      </c>
      <c r="L43" s="603"/>
      <c r="M43" s="604"/>
      <c r="N43" s="554"/>
      <c r="O43" s="605"/>
      <c r="P43" s="606"/>
      <c r="T43" s="588"/>
      <c r="W43" s="512" t="str">
        <f t="shared" si="4"/>
        <v>Loan 3</v>
      </c>
      <c r="X43" s="550">
        <f t="shared" si="5"/>
        <v>0</v>
      </c>
      <c r="Y43" s="598">
        <f t="shared" si="6"/>
        <v>0</v>
      </c>
      <c r="Z43" s="599">
        <f>O43+IF(M43="Residential",Assumptions!$I$4,Assumptions!$G$4)</f>
        <v>0.02</v>
      </c>
      <c r="AA43" s="512"/>
      <c r="AB43" s="600">
        <f>IF($X43=0,0,MAX(PMT(O43/12,Assumptions!$B$9,X43),$P43))</f>
        <v>0</v>
      </c>
      <c r="AC43" s="600">
        <f>IF(AB43=0,0,AB43+N43*IF(M43="Commercial",Assumptions!$G$4,Assumptions!$I$4)/12)</f>
        <v>0</v>
      </c>
      <c r="AD43" s="601">
        <f t="shared" si="7"/>
        <v>0</v>
      </c>
      <c r="AE43" s="601">
        <f t="shared" si="7"/>
        <v>0</v>
      </c>
      <c r="AF43" s="602">
        <f t="shared" si="8"/>
        <v>0</v>
      </c>
      <c r="AG43" s="601">
        <f t="shared" si="9"/>
        <v>0</v>
      </c>
      <c r="AH43" s="512"/>
      <c r="AI43" s="512"/>
      <c r="AJ43" s="512"/>
      <c r="AK43" s="512"/>
      <c r="AL43" s="512"/>
      <c r="AM43" s="512"/>
      <c r="AN43" s="512"/>
      <c r="AO43" s="512"/>
      <c r="AP43" s="512"/>
      <c r="AQ43" s="512"/>
      <c r="AR43" s="512"/>
    </row>
    <row r="44" spans="2:44" ht="18" customHeight="1" x14ac:dyDescent="0.2">
      <c r="B44" s="587"/>
      <c r="C44" s="545" t="s">
        <v>341</v>
      </c>
      <c r="D44" s="551"/>
      <c r="E44" s="552"/>
      <c r="F44" s="810"/>
      <c r="G44" s="811"/>
      <c r="H44" s="519"/>
      <c r="I44" s="512"/>
      <c r="J44" s="587"/>
      <c r="K44" s="545" t="s">
        <v>389</v>
      </c>
      <c r="L44" s="603"/>
      <c r="M44" s="604"/>
      <c r="N44" s="554"/>
      <c r="O44" s="605"/>
      <c r="P44" s="606"/>
      <c r="T44" s="588"/>
      <c r="W44" s="512" t="str">
        <f t="shared" si="4"/>
        <v>Loan 4</v>
      </c>
      <c r="X44" s="550">
        <f t="shared" si="5"/>
        <v>0</v>
      </c>
      <c r="Y44" s="598">
        <f t="shared" si="6"/>
        <v>0</v>
      </c>
      <c r="Z44" s="599">
        <f>O44+IF(M44="Residential",Assumptions!$I$4,Assumptions!$G$4)</f>
        <v>0.02</v>
      </c>
      <c r="AA44" s="512"/>
      <c r="AB44" s="600">
        <f>IF($X44=0,0,MAX(PMT(O44/12,Assumptions!$B$9,X44),$P44))</f>
        <v>0</v>
      </c>
      <c r="AC44" s="600">
        <f>IF(AB44=0,0,AB44+N44*IF(M44="Commercial",Assumptions!$G$4,Assumptions!$I$4)/12)</f>
        <v>0</v>
      </c>
      <c r="AD44" s="601">
        <f t="shared" si="7"/>
        <v>0</v>
      </c>
      <c r="AE44" s="601">
        <f t="shared" si="7"/>
        <v>0</v>
      </c>
      <c r="AF44" s="602">
        <f t="shared" si="8"/>
        <v>0</v>
      </c>
      <c r="AG44" s="601">
        <f t="shared" si="9"/>
        <v>0</v>
      </c>
      <c r="AH44" s="512"/>
      <c r="AI44" s="512"/>
      <c r="AJ44" s="512"/>
      <c r="AK44" s="512"/>
      <c r="AL44" s="512"/>
      <c r="AM44" s="512"/>
      <c r="AN44" s="512"/>
      <c r="AO44" s="512"/>
      <c r="AP44" s="512"/>
      <c r="AQ44" s="512"/>
      <c r="AR44" s="512"/>
    </row>
    <row r="45" spans="2:44" ht="18" customHeight="1" x14ac:dyDescent="0.2">
      <c r="B45" s="587"/>
      <c r="C45" s="545" t="s">
        <v>342</v>
      </c>
      <c r="D45" s="551"/>
      <c r="E45" s="552"/>
      <c r="F45" s="810"/>
      <c r="G45" s="811"/>
      <c r="H45" s="519"/>
      <c r="I45" s="512"/>
      <c r="J45" s="587"/>
      <c r="K45" s="545" t="s">
        <v>390</v>
      </c>
      <c r="L45" s="603"/>
      <c r="M45" s="604"/>
      <c r="N45" s="554"/>
      <c r="O45" s="605"/>
      <c r="P45" s="606"/>
      <c r="T45" s="588"/>
      <c r="W45" s="512" t="str">
        <f t="shared" si="4"/>
        <v>Loan 5</v>
      </c>
      <c r="X45" s="550">
        <f t="shared" si="5"/>
        <v>0</v>
      </c>
      <c r="Y45" s="598">
        <f t="shared" si="6"/>
        <v>0</v>
      </c>
      <c r="Z45" s="599">
        <f>O45+IF(M45="Residential",Assumptions!$I$4,Assumptions!$G$4)</f>
        <v>0.02</v>
      </c>
      <c r="AA45" s="512"/>
      <c r="AB45" s="600">
        <f>IF($X45=0,0,MAX(PMT(O45/12,Assumptions!$B$9,X45),$P45))</f>
        <v>0</v>
      </c>
      <c r="AC45" s="600">
        <f>IF(AB45=0,0,AB45+N45*IF(M45="Commercial",Assumptions!$G$4,Assumptions!$I$4)/12)</f>
        <v>0</v>
      </c>
      <c r="AD45" s="601">
        <f t="shared" si="7"/>
        <v>0</v>
      </c>
      <c r="AE45" s="601">
        <f t="shared" si="7"/>
        <v>0</v>
      </c>
      <c r="AF45" s="602">
        <f t="shared" si="8"/>
        <v>0</v>
      </c>
      <c r="AG45" s="601">
        <f t="shared" si="9"/>
        <v>0</v>
      </c>
      <c r="AH45" s="512"/>
      <c r="AI45" s="512"/>
      <c r="AJ45" s="512"/>
      <c r="AK45" s="512"/>
      <c r="AL45" s="512"/>
      <c r="AM45" s="512"/>
      <c r="AN45" s="512"/>
      <c r="AO45" s="512"/>
      <c r="AP45" s="512"/>
      <c r="AQ45" s="512"/>
      <c r="AR45" s="512"/>
    </row>
    <row r="46" spans="2:44" ht="18" customHeight="1" thickBot="1" x14ac:dyDescent="0.25">
      <c r="B46" s="587"/>
      <c r="C46" s="545" t="s">
        <v>343</v>
      </c>
      <c r="D46" s="557"/>
      <c r="E46" s="558"/>
      <c r="F46" s="818"/>
      <c r="G46" s="819"/>
      <c r="H46" s="519"/>
      <c r="I46" s="512"/>
      <c r="J46" s="587"/>
      <c r="K46" s="545" t="s">
        <v>391</v>
      </c>
      <c r="L46" s="603"/>
      <c r="M46" s="604"/>
      <c r="N46" s="554"/>
      <c r="O46" s="605"/>
      <c r="P46" s="606"/>
      <c r="T46" s="588"/>
      <c r="W46" s="512" t="str">
        <f t="shared" si="4"/>
        <v>Loan 6</v>
      </c>
      <c r="X46" s="550">
        <f t="shared" si="5"/>
        <v>0</v>
      </c>
      <c r="Y46" s="598">
        <f t="shared" si="6"/>
        <v>0</v>
      </c>
      <c r="Z46" s="599">
        <f>O46+IF(M46="Residential",Assumptions!$I$4,Assumptions!$G$4)</f>
        <v>0.02</v>
      </c>
      <c r="AA46" s="512"/>
      <c r="AB46" s="600">
        <f>IF($X46=0,0,MAX(PMT(O46/12,Assumptions!$B$9,X46),$P46))</f>
        <v>0</v>
      </c>
      <c r="AC46" s="600">
        <f>IF(AB46=0,0,AB46+N46*IF(M46="Commercial",Assumptions!$G$4,Assumptions!$I$4)/12)</f>
        <v>0</v>
      </c>
      <c r="AD46" s="601">
        <f t="shared" si="7"/>
        <v>0</v>
      </c>
      <c r="AE46" s="601">
        <f t="shared" si="7"/>
        <v>0</v>
      </c>
      <c r="AF46" s="602">
        <f t="shared" si="8"/>
        <v>0</v>
      </c>
      <c r="AG46" s="601">
        <f t="shared" si="9"/>
        <v>0</v>
      </c>
      <c r="AH46" s="512"/>
      <c r="AI46" s="512"/>
      <c r="AJ46" s="512"/>
      <c r="AK46" s="512"/>
      <c r="AL46" s="512"/>
      <c r="AM46" s="512"/>
      <c r="AN46" s="512"/>
      <c r="AO46" s="512"/>
      <c r="AP46" s="512"/>
      <c r="AQ46" s="512"/>
      <c r="AR46" s="512"/>
    </row>
    <row r="47" spans="2:44" ht="18" customHeight="1" thickTop="1" thickBot="1" x14ac:dyDescent="0.25">
      <c r="B47" s="587"/>
      <c r="C47" s="559" t="s">
        <v>392</v>
      </c>
      <c r="D47" s="560">
        <f>SUM(D41:D46)</f>
        <v>0</v>
      </c>
      <c r="E47" s="561">
        <f>SUM(E41:E46)</f>
        <v>0</v>
      </c>
      <c r="F47" s="820">
        <f>SUM(Y23:Y28)</f>
        <v>0</v>
      </c>
      <c r="G47" s="821"/>
      <c r="H47" s="519"/>
      <c r="I47" s="512"/>
      <c r="J47" s="587"/>
      <c r="K47" s="607" t="s">
        <v>393</v>
      </c>
      <c r="L47" s="608"/>
      <c r="M47" s="608"/>
      <c r="N47" s="609"/>
      <c r="O47" s="610"/>
      <c r="P47" s="611"/>
      <c r="T47" s="588"/>
      <c r="W47" s="512" t="str">
        <f t="shared" si="4"/>
        <v>Loan 7</v>
      </c>
      <c r="X47" s="550">
        <f t="shared" si="5"/>
        <v>0</v>
      </c>
      <c r="Y47" s="598">
        <f t="shared" si="6"/>
        <v>0</v>
      </c>
      <c r="Z47" s="599">
        <f>O47+IF(M47="Residential",Assumptions!$I$4,Assumptions!$G$4)</f>
        <v>0.02</v>
      </c>
      <c r="AA47" s="512"/>
      <c r="AB47" s="600">
        <f>IF($X47=0,0,MAX(PMT(O47/12,Assumptions!$B$9,X47),$P47))</f>
        <v>0</v>
      </c>
      <c r="AC47" s="600">
        <f>IF(AB47=0,0,AB47+N47*IF(M47="Commercial",Assumptions!$G$4,Assumptions!$I$4)/12)</f>
        <v>0</v>
      </c>
      <c r="AD47" s="601">
        <f t="shared" si="7"/>
        <v>0</v>
      </c>
      <c r="AE47" s="601">
        <f t="shared" si="7"/>
        <v>0</v>
      </c>
      <c r="AF47" s="602">
        <f t="shared" si="8"/>
        <v>0</v>
      </c>
      <c r="AG47" s="601">
        <f t="shared" si="9"/>
        <v>0</v>
      </c>
      <c r="AH47" s="512"/>
      <c r="AI47" s="512"/>
      <c r="AJ47" s="512"/>
      <c r="AK47" s="512"/>
      <c r="AL47" s="512"/>
      <c r="AM47" s="512"/>
      <c r="AN47" s="512"/>
      <c r="AO47" s="512"/>
      <c r="AP47" s="512"/>
      <c r="AQ47" s="512"/>
      <c r="AR47" s="512"/>
    </row>
    <row r="48" spans="2:44" ht="18" customHeight="1" thickTop="1" thickBot="1" x14ac:dyDescent="0.25">
      <c r="B48" s="587"/>
      <c r="C48" s="512"/>
      <c r="H48" s="519"/>
      <c r="I48" s="512"/>
      <c r="J48" s="587"/>
      <c r="N48" s="78"/>
      <c r="T48" s="588"/>
      <c r="Y48" s="78"/>
      <c r="AB48" s="78"/>
      <c r="AF48" s="602"/>
    </row>
    <row r="49" spans="2:34" ht="18" customHeight="1" thickTop="1" x14ac:dyDescent="0.2">
      <c r="B49" s="589"/>
      <c r="C49" s="539" t="s">
        <v>394</v>
      </c>
      <c r="D49" s="540">
        <f>D$22</f>
        <v>2025</v>
      </c>
      <c r="E49" s="540">
        <f t="shared" ref="E49" si="10">E$22</f>
        <v>2026</v>
      </c>
      <c r="F49" s="806" t="s">
        <v>395</v>
      </c>
      <c r="G49" s="807"/>
      <c r="H49" s="519"/>
      <c r="I49" s="512"/>
      <c r="J49" s="587"/>
      <c r="K49" s="539" t="s">
        <v>396</v>
      </c>
      <c r="L49" s="542" t="s">
        <v>120</v>
      </c>
      <c r="M49" s="542" t="s">
        <v>374</v>
      </c>
      <c r="N49" s="542" t="s">
        <v>73</v>
      </c>
      <c r="O49" s="542" t="s">
        <v>123</v>
      </c>
      <c r="P49" s="542" t="s">
        <v>121</v>
      </c>
      <c r="Q49" s="542" t="s">
        <v>130</v>
      </c>
      <c r="R49" s="542" t="s">
        <v>125</v>
      </c>
      <c r="S49" s="543" t="s">
        <v>124</v>
      </c>
      <c r="T49" s="588"/>
      <c r="W49" s="591" t="s">
        <v>397</v>
      </c>
      <c r="Z49" s="50"/>
      <c r="AB49" s="78"/>
      <c r="AF49" s="602"/>
    </row>
    <row r="50" spans="2:34" ht="18" customHeight="1" x14ac:dyDescent="0.2">
      <c r="B50" s="589"/>
      <c r="C50" s="612"/>
      <c r="D50" s="549"/>
      <c r="E50" s="546"/>
      <c r="F50" s="800"/>
      <c r="G50" s="801"/>
      <c r="H50" s="519"/>
      <c r="I50" s="512"/>
      <c r="J50" s="587"/>
      <c r="K50" s="545" t="s">
        <v>386</v>
      </c>
      <c r="L50" s="593"/>
      <c r="M50" s="594"/>
      <c r="N50" s="604"/>
      <c r="O50" s="594"/>
      <c r="P50" s="595"/>
      <c r="Q50" s="596"/>
      <c r="R50" s="593"/>
      <c r="S50" s="613"/>
      <c r="T50" s="588"/>
      <c r="W50" s="512" t="str">
        <f>K50</f>
        <v>Loan 1</v>
      </c>
      <c r="X50" s="550">
        <f>-P50</f>
        <v>0</v>
      </c>
      <c r="Y50" s="598">
        <f>Q50</f>
        <v>0</v>
      </c>
      <c r="Z50" s="614">
        <f>IF(N50="NCCL",MAX(Q50+Assumptions!$E$7,Assumptions!$G$5),IF(N50="SMSF Easy Refi",MAX(Q50+Assumptions!$E$8,Assumptions!$I$5),IF(M50="Residential",MAX(Q50+Assumptions!$I$4,Assumptions!$I$5),MAX(Q50+Assumptions!$G$4,Assumptions!$G$5))))</f>
        <v>7.0000000000000007E-2</v>
      </c>
      <c r="AA50" s="512">
        <f>IF(N50="NCCL",1,(R50-S50)*12)</f>
        <v>0</v>
      </c>
      <c r="AB50" s="615">
        <f>IF(OR($N50="GST",$N50="NCCL"),$P50*Y50/12,IF($P50=0,0,PMT(Y50/12,$AA50,$X50,0,0)))</f>
        <v>0</v>
      </c>
      <c r="AC50" s="615">
        <f>IF(OR($N50="GST",$N50="NCCL"),$P50*Z50/12,IF($P50=0,0,PMT(Z50/12,$AA50,$X50,0,0)))</f>
        <v>0</v>
      </c>
      <c r="AD50" s="601">
        <f>IF(N50="NCCL",AB50,AB50*12)</f>
        <v>0</v>
      </c>
      <c r="AE50" s="601">
        <f>IF(N50="NCCL",AC50,AC50*12)</f>
        <v>0</v>
      </c>
      <c r="AF50" s="616">
        <f>IF(AND(N50&lt;&gt;"NCCL",N50&lt;&gt;"GST"),P50*Q50,IF(N50="NCCL",Q50*P50/12,P50*Q50*MIN(R50,1)))</f>
        <v>0</v>
      </c>
      <c r="AG50" s="617">
        <f>IF(AND($AB$65=TRUE,$X$76="Y"),X70,IF(AND($AB$65=TRUE,$Y$76="Y"),Y70,AE50))</f>
        <v>0</v>
      </c>
      <c r="AH50" s="618">
        <f>IF(N50="GST",P50*Q50*MIN(R50,1)*Assumptions!$E$9,0)</f>
        <v>0</v>
      </c>
    </row>
    <row r="51" spans="2:34" ht="18" customHeight="1" x14ac:dyDescent="0.2">
      <c r="B51" s="589"/>
      <c r="C51" s="619"/>
      <c r="D51" s="551"/>
      <c r="E51" s="552"/>
      <c r="F51" s="810"/>
      <c r="G51" s="811"/>
      <c r="H51" s="519"/>
      <c r="I51" s="512"/>
      <c r="J51" s="587"/>
      <c r="K51" s="545" t="s">
        <v>387</v>
      </c>
      <c r="L51" s="593"/>
      <c r="M51" s="594"/>
      <c r="N51" s="604"/>
      <c r="O51" s="604"/>
      <c r="P51" s="554"/>
      <c r="Q51" s="605"/>
      <c r="R51" s="593"/>
      <c r="S51" s="620"/>
      <c r="T51" s="588"/>
      <c r="W51" s="512" t="str">
        <f>K51</f>
        <v>Loan 2</v>
      </c>
      <c r="X51" s="550">
        <f>-P51</f>
        <v>0</v>
      </c>
      <c r="Y51" s="598">
        <f t="shared" ref="Y51:Y54" si="11">Q51</f>
        <v>0</v>
      </c>
      <c r="Z51" s="614">
        <f>IF(N51="NCCL",MAX(Q51+Assumptions!$E$7,Assumptions!$G$5),IF(N51="SMSF Easy Refi",MAX(Q51+Assumptions!$E$8,Assumptions!$I$5),IF(M51="Residential",MAX(Q51+Assumptions!$I$4,Assumptions!$I$5),MAX(Q51+Assumptions!$G$4,Assumptions!$G$5))))</f>
        <v>7.0000000000000007E-2</v>
      </c>
      <c r="AA51" s="512">
        <f t="shared" ref="AA51:AA54" si="12">IF(N51="NCCL",1,(R51-S51)*12)</f>
        <v>0</v>
      </c>
      <c r="AB51" s="615">
        <f t="shared" ref="AB51:AC54" si="13">IF(OR($N51="GST",$N51="NCCL"),$P51*Y51/12,IF($P51=0,0,PMT(Y51/12,$AA51,$X51,0,0)))</f>
        <v>0</v>
      </c>
      <c r="AC51" s="615">
        <f t="shared" si="13"/>
        <v>0</v>
      </c>
      <c r="AD51" s="601">
        <f t="shared" ref="AD51:AD54" si="14">IF(N51="NCCL",AB51,AB51*12)</f>
        <v>0</v>
      </c>
      <c r="AE51" s="601">
        <f t="shared" ref="AE51:AE54" si="15">IF(N51="NCCL",AC51,AC51*12)</f>
        <v>0</v>
      </c>
      <c r="AF51" s="616">
        <f t="shared" ref="AF51:AF54" si="16">IF(AND(N51&lt;&gt;"NCCL",N51&lt;&gt;"GST"),P51*Q51,IF(N51="NCCL",Q51*P51/12,P51*Q51*MIN(R51,1)))</f>
        <v>0</v>
      </c>
      <c r="AG51" s="617">
        <f t="shared" ref="AG51:AG54" si="17">IF(AND($AB$65=TRUE,$X$76="Y"),X71,IF(AND($AB$65=TRUE,$Y$76="Y"),Y71,AE51))</f>
        <v>0</v>
      </c>
      <c r="AH51" s="618">
        <f>IF(N51="GST",P51*Q51*MIN(R51,1)*Assumptions!$E$9,0)</f>
        <v>0</v>
      </c>
    </row>
    <row r="52" spans="2:34" ht="18" customHeight="1" x14ac:dyDescent="0.2">
      <c r="B52" s="589"/>
      <c r="C52" s="619"/>
      <c r="D52" s="551"/>
      <c r="E52" s="552"/>
      <c r="F52" s="810"/>
      <c r="G52" s="811"/>
      <c r="H52" s="519"/>
      <c r="I52" s="512"/>
      <c r="J52" s="587"/>
      <c r="K52" s="545" t="s">
        <v>388</v>
      </c>
      <c r="L52" s="603"/>
      <c r="M52" s="594"/>
      <c r="N52" s="604"/>
      <c r="O52" s="604"/>
      <c r="P52" s="566"/>
      <c r="Q52" s="605"/>
      <c r="R52" s="593"/>
      <c r="S52" s="620"/>
      <c r="T52" s="588"/>
      <c r="W52" s="512" t="str">
        <f>K52</f>
        <v>Loan 3</v>
      </c>
      <c r="X52" s="550">
        <f>-P52</f>
        <v>0</v>
      </c>
      <c r="Y52" s="598">
        <f t="shared" si="11"/>
        <v>0</v>
      </c>
      <c r="Z52" s="614">
        <f>IF(N52="NCCL",MAX(Q52+Assumptions!$E$7,Assumptions!$G$5),IF(N52="SMSF Easy Refi",MAX(Q52+Assumptions!$E$8,Assumptions!$I$5),IF(M52="Residential",MAX(Q52+Assumptions!$I$4,Assumptions!$I$5),MAX(Q52+Assumptions!$G$4,Assumptions!$G$5))))</f>
        <v>7.0000000000000007E-2</v>
      </c>
      <c r="AA52" s="512">
        <f t="shared" si="12"/>
        <v>0</v>
      </c>
      <c r="AB52" s="615">
        <f t="shared" si="13"/>
        <v>0</v>
      </c>
      <c r="AC52" s="615">
        <f t="shared" si="13"/>
        <v>0</v>
      </c>
      <c r="AD52" s="601">
        <f t="shared" si="14"/>
        <v>0</v>
      </c>
      <c r="AE52" s="601">
        <f t="shared" si="15"/>
        <v>0</v>
      </c>
      <c r="AF52" s="616">
        <f t="shared" si="16"/>
        <v>0</v>
      </c>
      <c r="AG52" s="617">
        <f t="shared" si="17"/>
        <v>0</v>
      </c>
      <c r="AH52" s="618">
        <f>IF(N52="GST",P52*Q52*MIN(R52,1)*Assumptions!$E$9,0)</f>
        <v>0</v>
      </c>
    </row>
    <row r="53" spans="2:34" ht="18" customHeight="1" thickBot="1" x14ac:dyDescent="0.25">
      <c r="B53" s="589"/>
      <c r="C53" s="621"/>
      <c r="D53" s="551"/>
      <c r="E53" s="552"/>
      <c r="F53" s="810"/>
      <c r="G53" s="811"/>
      <c r="H53" s="519"/>
      <c r="I53" s="512"/>
      <c r="J53" s="587"/>
      <c r="K53" s="545" t="s">
        <v>389</v>
      </c>
      <c r="L53" s="603"/>
      <c r="M53" s="594"/>
      <c r="N53" s="604"/>
      <c r="O53" s="555"/>
      <c r="P53" s="622"/>
      <c r="Q53" s="623"/>
      <c r="R53" s="593"/>
      <c r="S53" s="620"/>
      <c r="T53" s="588"/>
      <c r="W53" s="512" t="str">
        <f>K53</f>
        <v>Loan 4</v>
      </c>
      <c r="X53" s="550">
        <f>-P53</f>
        <v>0</v>
      </c>
      <c r="Y53" s="598">
        <f t="shared" si="11"/>
        <v>0</v>
      </c>
      <c r="Z53" s="614">
        <f>IF(N53="NCCL",MAX(Q53+Assumptions!$E$7,Assumptions!$G$5),IF(N53="SMSF Easy Refi",MAX(Q53+Assumptions!$E$8,Assumptions!$I$5),IF(M53="Residential",MAX(Q53+Assumptions!$I$4,Assumptions!$I$5),MAX(Q53+Assumptions!$G$4,Assumptions!$G$5))))</f>
        <v>7.0000000000000007E-2</v>
      </c>
      <c r="AA53" s="512">
        <f t="shared" si="12"/>
        <v>0</v>
      </c>
      <c r="AB53" s="615">
        <f t="shared" si="13"/>
        <v>0</v>
      </c>
      <c r="AC53" s="615">
        <f t="shared" si="13"/>
        <v>0</v>
      </c>
      <c r="AD53" s="601">
        <f t="shared" si="14"/>
        <v>0</v>
      </c>
      <c r="AE53" s="601">
        <f t="shared" si="15"/>
        <v>0</v>
      </c>
      <c r="AF53" s="616">
        <f t="shared" si="16"/>
        <v>0</v>
      </c>
      <c r="AG53" s="617">
        <f t="shared" si="17"/>
        <v>0</v>
      </c>
      <c r="AH53" s="618">
        <f>IF(N53="GST",P53*Q53*MIN(R53,1)*Assumptions!$E$9,0)</f>
        <v>0</v>
      </c>
    </row>
    <row r="54" spans="2:34" ht="18" customHeight="1" thickTop="1" thickBot="1" x14ac:dyDescent="0.25">
      <c r="B54" s="589"/>
      <c r="C54" s="559" t="s">
        <v>398</v>
      </c>
      <c r="D54" s="560">
        <f>SUM(D50:D53)</f>
        <v>0</v>
      </c>
      <c r="E54" s="561">
        <f>SUM(E50:E53)</f>
        <v>0</v>
      </c>
      <c r="F54" s="820">
        <f>IF(AND(F29=0,F36=0,O33=0),0,MAX(SUM(Z23:Z26),Assumptions!$G$16))</f>
        <v>0</v>
      </c>
      <c r="G54" s="821"/>
      <c r="H54" s="519"/>
      <c r="I54" s="512"/>
      <c r="J54" s="587"/>
      <c r="K54" s="607" t="s">
        <v>390</v>
      </c>
      <c r="L54" s="624"/>
      <c r="M54" s="608"/>
      <c r="N54" s="608"/>
      <c r="O54" s="608"/>
      <c r="P54" s="625"/>
      <c r="Q54" s="610"/>
      <c r="R54" s="610"/>
      <c r="S54" s="626"/>
      <c r="T54" s="588"/>
      <c r="W54" s="512" t="str">
        <f>K54</f>
        <v>Loan 5</v>
      </c>
      <c r="X54" s="550">
        <f>-P54</f>
        <v>0</v>
      </c>
      <c r="Y54" s="598">
        <f t="shared" si="11"/>
        <v>0</v>
      </c>
      <c r="Z54" s="614">
        <f>IF(N54="NCCL",MAX(Q54+Assumptions!$E$7,Assumptions!$G$5),IF(N54="SMSF Easy Refi",MAX(Q54+Assumptions!$E$8,Assumptions!$I$5),IF(M54="Residential",MAX(Q54+Assumptions!$I$4,Assumptions!$I$5),MAX(Q54+Assumptions!$G$4,Assumptions!$G$5))))</f>
        <v>7.0000000000000007E-2</v>
      </c>
      <c r="AA54" s="512">
        <f t="shared" si="12"/>
        <v>0</v>
      </c>
      <c r="AB54" s="615">
        <f t="shared" si="13"/>
        <v>0</v>
      </c>
      <c r="AC54" s="615">
        <f t="shared" si="13"/>
        <v>0</v>
      </c>
      <c r="AD54" s="601">
        <f t="shared" si="14"/>
        <v>0</v>
      </c>
      <c r="AE54" s="601">
        <f t="shared" si="15"/>
        <v>0</v>
      </c>
      <c r="AF54" s="616">
        <f t="shared" si="16"/>
        <v>0</v>
      </c>
      <c r="AG54" s="617">
        <f t="shared" si="17"/>
        <v>0</v>
      </c>
      <c r="AH54" s="618">
        <f>IF(N54="GST",P54*Q54*MIN(R54,1)*Assumptions!$E$9,0)</f>
        <v>0</v>
      </c>
    </row>
    <row r="55" spans="2:34" ht="18" customHeight="1" thickTop="1" x14ac:dyDescent="0.2">
      <c r="B55" s="589"/>
      <c r="C55" s="512"/>
      <c r="E55" s="522"/>
      <c r="F55" s="522"/>
      <c r="G55" s="522"/>
      <c r="H55" s="519"/>
      <c r="I55" s="512"/>
      <c r="J55" s="587"/>
      <c r="K55" s="544"/>
      <c r="L55" s="627"/>
      <c r="M55" s="627"/>
      <c r="N55" s="627"/>
      <c r="O55" s="627"/>
      <c r="P55" s="627"/>
      <c r="Q55" s="628"/>
      <c r="R55" s="629"/>
      <c r="S55" s="627"/>
      <c r="T55" s="588"/>
      <c r="W55" s="512"/>
      <c r="X55" s="550"/>
      <c r="Y55" s="598"/>
      <c r="Z55" s="598"/>
      <c r="AA55" s="512"/>
      <c r="AB55" s="600"/>
      <c r="AC55" s="600"/>
      <c r="AD55" s="601"/>
      <c r="AE55" s="601"/>
    </row>
    <row r="56" spans="2:34" ht="18" customHeight="1" x14ac:dyDescent="0.2">
      <c r="B56" s="531">
        <v>4</v>
      </c>
      <c r="C56" s="532" t="s">
        <v>399</v>
      </c>
      <c r="D56" s="586"/>
      <c r="E56" s="586"/>
      <c r="F56" s="586"/>
      <c r="G56" s="586"/>
      <c r="H56" s="586"/>
      <c r="I56" s="586"/>
      <c r="J56" s="586"/>
      <c r="K56" s="586"/>
      <c r="L56" s="586"/>
      <c r="M56" s="586"/>
      <c r="N56" s="586"/>
      <c r="O56" s="586"/>
      <c r="P56" s="586"/>
      <c r="Q56" s="586"/>
      <c r="R56" s="586"/>
      <c r="S56" s="586"/>
      <c r="T56" s="585"/>
      <c r="W56" s="630" t="s">
        <v>400</v>
      </c>
      <c r="X56" s="631"/>
      <c r="Y56" s="253"/>
      <c r="Z56" s="632"/>
      <c r="AA56" s="253"/>
      <c r="AB56" s="253"/>
      <c r="AC56" s="253"/>
      <c r="AD56" s="253"/>
      <c r="AE56" s="253"/>
      <c r="AF56" s="253"/>
    </row>
    <row r="57" spans="2:34" ht="18" customHeight="1" x14ac:dyDescent="0.2">
      <c r="B57" s="587"/>
      <c r="C57" s="633" t="s">
        <v>401</v>
      </c>
      <c r="D57" s="512"/>
      <c r="E57" s="512"/>
      <c r="F57" s="512"/>
      <c r="G57" s="634"/>
      <c r="H57" s="512"/>
      <c r="I57" s="512"/>
      <c r="J57" s="512"/>
      <c r="K57" s="635" t="s">
        <v>402</v>
      </c>
      <c r="L57" s="512"/>
      <c r="M57" s="512"/>
      <c r="N57" s="512"/>
      <c r="O57" s="512"/>
      <c r="P57" s="512"/>
      <c r="Q57" s="512"/>
      <c r="R57" s="512"/>
      <c r="S57" s="512"/>
      <c r="T57" s="588"/>
      <c r="W57" s="591" t="s">
        <v>397</v>
      </c>
      <c r="X57" s="636" t="s">
        <v>178</v>
      </c>
      <c r="Y57" s="78" t="s">
        <v>179</v>
      </c>
      <c r="AB57" s="3" t="s">
        <v>180</v>
      </c>
      <c r="AC57" s="3" t="s">
        <v>181</v>
      </c>
    </row>
    <row r="58" spans="2:34" ht="18" customHeight="1" x14ac:dyDescent="0.2">
      <c r="B58" s="587"/>
      <c r="C58" s="637" t="s">
        <v>403</v>
      </c>
      <c r="E58" s="638"/>
      <c r="F58" s="638"/>
      <c r="G58" s="639">
        <f>F29</f>
        <v>0</v>
      </c>
      <c r="H58" s="640"/>
      <c r="K58" s="641" t="s">
        <v>404</v>
      </c>
      <c r="M58" s="642" t="str">
        <f>IF(G65=0,"",G63/(G65+SUM(AH50:AH54)))</f>
        <v/>
      </c>
      <c r="N58" s="50"/>
      <c r="O58" s="643"/>
      <c r="P58" s="643"/>
      <c r="Q58" s="643"/>
      <c r="T58" s="588"/>
      <c r="W58" s="512" t="s">
        <v>386</v>
      </c>
      <c r="X58" s="3" t="str">
        <f>IF(N50="Top Up Loan","Y","N")</f>
        <v>N</v>
      </c>
      <c r="Y58" s="3" t="str">
        <f>IF(AND(M50="Commercial",N50="SMSF",O50="I/O"),"Y","N")</f>
        <v>N</v>
      </c>
      <c r="AB58" s="3">
        <f>IF(X58="Y",R50,0)</f>
        <v>0</v>
      </c>
      <c r="AC58" s="3">
        <f>IF(AND(M50="Commercial",N50="SMSF",O50="I/O"),S50,0)</f>
        <v>0</v>
      </c>
    </row>
    <row r="59" spans="2:34" ht="18" customHeight="1" x14ac:dyDescent="0.2">
      <c r="B59" s="587"/>
      <c r="C59" s="637" t="s">
        <v>405</v>
      </c>
      <c r="G59" s="639">
        <f>O33</f>
        <v>0</v>
      </c>
      <c r="K59" s="637" t="s">
        <v>406</v>
      </c>
      <c r="M59" s="642" t="str" cm="1">
        <f t="array" ref="M59">IF(G65=0,"",G63/((SUMPRODUCT(IF(N50:N54="NCCL",0,1),P50:P54,Z50:Z54)+SUMPRODUCT(IF(N50:N54="NCCL",1,0),P50:P54,Z50:Z54)/12)+SUMPRODUCT(N41:N47,Z41:Z47)))</f>
        <v/>
      </c>
      <c r="N59" s="50"/>
      <c r="T59" s="588"/>
      <c r="W59" s="512" t="s">
        <v>387</v>
      </c>
      <c r="X59" s="3" t="str">
        <f t="shared" ref="X59:X62" si="18">IF(N51="Top Up Loan","Y","N")</f>
        <v>N</v>
      </c>
      <c r="Y59" s="3" t="str">
        <f t="shared" ref="Y59:Y62" si="19">IF(AND(M51="Commercial",N51="SMSF",O51="I/O"),"Y","N")</f>
        <v>N</v>
      </c>
      <c r="AB59" s="3">
        <f t="shared" ref="AB59:AB62" si="20">IF(X59="Y",R51,0)</f>
        <v>0</v>
      </c>
      <c r="AC59" s="3">
        <f t="shared" ref="AC59:AC62" si="21">IF(AND(M51="Commercial",N51="SMSF",O51="I/O"),S51,0)</f>
        <v>0</v>
      </c>
    </row>
    <row r="60" spans="2:34" ht="18" customHeight="1" x14ac:dyDescent="0.2">
      <c r="B60" s="587"/>
      <c r="C60" s="637" t="s">
        <v>407</v>
      </c>
      <c r="G60" s="639">
        <f>F36</f>
        <v>0</v>
      </c>
      <c r="K60" s="644" t="s">
        <v>408</v>
      </c>
      <c r="N60" s="4"/>
      <c r="T60" s="588"/>
      <c r="W60" s="512" t="s">
        <v>388</v>
      </c>
      <c r="X60" s="3" t="str">
        <f t="shared" si="18"/>
        <v>N</v>
      </c>
      <c r="Y60" s="3" t="str">
        <f t="shared" si="19"/>
        <v>N</v>
      </c>
      <c r="AB60" s="3">
        <f t="shared" si="20"/>
        <v>0</v>
      </c>
      <c r="AC60" s="3">
        <f t="shared" si="21"/>
        <v>0</v>
      </c>
    </row>
    <row r="61" spans="2:34" ht="18" customHeight="1" x14ac:dyDescent="0.2">
      <c r="B61" s="587"/>
      <c r="C61" s="637" t="s">
        <v>409</v>
      </c>
      <c r="G61" s="639">
        <f>-F47</f>
        <v>0</v>
      </c>
      <c r="K61" s="637" t="s">
        <v>410</v>
      </c>
      <c r="M61" s="642" t="str">
        <f>IF(G65=0,"",G63/SUM(AD41:AD54))</f>
        <v/>
      </c>
      <c r="N61" s="50"/>
      <c r="Q61" s="645"/>
      <c r="T61" s="588"/>
      <c r="W61" s="512" t="s">
        <v>389</v>
      </c>
      <c r="X61" s="3" t="str">
        <f t="shared" si="18"/>
        <v>N</v>
      </c>
      <c r="Y61" s="3" t="str">
        <f t="shared" si="19"/>
        <v>N</v>
      </c>
      <c r="AB61" s="3">
        <f t="shared" si="20"/>
        <v>0</v>
      </c>
      <c r="AC61" s="3">
        <f t="shared" si="21"/>
        <v>0</v>
      </c>
    </row>
    <row r="62" spans="2:34" ht="18" customHeight="1" thickBot="1" x14ac:dyDescent="0.25">
      <c r="B62" s="587"/>
      <c r="C62" s="637" t="s">
        <v>411</v>
      </c>
      <c r="G62" s="639">
        <f>-F54</f>
        <v>0</v>
      </c>
      <c r="K62" s="641" t="s">
        <v>412</v>
      </c>
      <c r="M62" s="642" t="str">
        <f>IF(G65=0,"",G63/SUM(AG41:AG54))</f>
        <v/>
      </c>
      <c r="N62" s="50"/>
      <c r="P62" s="643" t="str">
        <f>"* Unstressed Interest Only ICR calculation must be ≥"&amp;Assumptions!$K$9&amp;"x"</f>
        <v>* Unstressed Interest Only ICR calculation must be ≥1.5x</v>
      </c>
      <c r="T62" s="588"/>
      <c r="W62" s="512" t="s">
        <v>390</v>
      </c>
      <c r="X62" s="3" t="str">
        <f t="shared" si="18"/>
        <v>N</v>
      </c>
      <c r="Y62" s="3" t="str">
        <f t="shared" si="19"/>
        <v>N</v>
      </c>
      <c r="AB62" s="3">
        <f t="shared" si="20"/>
        <v>0</v>
      </c>
      <c r="AC62" s="3">
        <f t="shared" si="21"/>
        <v>0</v>
      </c>
    </row>
    <row r="63" spans="2:34" ht="18" customHeight="1" x14ac:dyDescent="0.2">
      <c r="B63" s="587"/>
      <c r="C63" s="646" t="s">
        <v>413</v>
      </c>
      <c r="G63" s="647">
        <f>SUM(G58:G62)</f>
        <v>0</v>
      </c>
      <c r="K63" s="641"/>
      <c r="N63" s="4"/>
      <c r="P63" s="643" t="str">
        <f>"** Stressed Principal &amp; Interest DSCR calculation must be &gt;"&amp;Assumptions!$K$10&amp;"x"</f>
        <v>** Stressed Principal &amp; Interest DSCR calculation must be &gt;1x</v>
      </c>
      <c r="T63" s="588"/>
    </row>
    <row r="64" spans="2:34" ht="5.0999999999999996" customHeight="1" x14ac:dyDescent="0.2">
      <c r="B64" s="587"/>
      <c r="C64" s="633"/>
      <c r="T64" s="588"/>
      <c r="W64" s="253"/>
      <c r="X64" s="253"/>
      <c r="Y64" s="253"/>
      <c r="Z64" s="253"/>
      <c r="AA64" s="253"/>
      <c r="AB64" s="253"/>
      <c r="AC64" s="253"/>
      <c r="AD64" s="253"/>
      <c r="AE64" s="253"/>
      <c r="AF64" s="253"/>
    </row>
    <row r="65" spans="2:32" ht="18" customHeight="1" x14ac:dyDescent="0.2">
      <c r="B65" s="587"/>
      <c r="C65" s="646" t="s">
        <v>414</v>
      </c>
      <c r="F65" s="78"/>
      <c r="G65" s="648">
        <f>SUM(AF41:AF54)</f>
        <v>0</v>
      </c>
      <c r="K65" s="644" t="s">
        <v>415</v>
      </c>
      <c r="L65" s="643"/>
      <c r="M65" s="649" t="str">
        <f>IF(SUM(P50:P54)=0,"",IF(AND(M58&gt;=Assumptions!$K$9,M62&gt;Assumptions!$K$10),"Accept","Fail"))</f>
        <v/>
      </c>
      <c r="T65" s="588"/>
      <c r="W65" s="630" t="s">
        <v>416</v>
      </c>
      <c r="X65" s="253"/>
      <c r="Y65" s="253"/>
      <c r="Z65" s="253"/>
      <c r="AA65" s="253"/>
      <c r="AB65" s="253" t="b">
        <f>AND(ISNUMBER(MATCH("Y",X58:X62,0))=TRUE,MAX(AB58:AB62)&lt;=MAX(AC58:AC62))</f>
        <v>0</v>
      </c>
      <c r="AC65" s="253"/>
      <c r="AD65" s="253"/>
      <c r="AE65" s="253"/>
      <c r="AF65" s="253"/>
    </row>
    <row r="66" spans="2:32" ht="5.0999999999999996" customHeight="1" x14ac:dyDescent="0.2">
      <c r="B66" s="587"/>
      <c r="C66" s="633"/>
      <c r="T66" s="588"/>
    </row>
    <row r="67" spans="2:32" ht="18" customHeight="1" thickBot="1" x14ac:dyDescent="0.25">
      <c r="B67" s="587"/>
      <c r="C67" s="646" t="s">
        <v>417</v>
      </c>
      <c r="G67" s="650">
        <f>G63-G65</f>
        <v>0</v>
      </c>
      <c r="K67" s="644" t="s">
        <v>9</v>
      </c>
      <c r="L67" s="643"/>
      <c r="M67" s="651" t="str">
        <f>IFERROR(IF(SUM(P50:P54)=0,"", (SUM(P50:P54)+SUM(N41:N47))/G63),"")</f>
        <v/>
      </c>
      <c r="N67" s="50"/>
      <c r="T67" s="588"/>
      <c r="W67" s="630" t="s">
        <v>418</v>
      </c>
      <c r="X67" s="253"/>
      <c r="Y67" s="253"/>
      <c r="Z67" s="253"/>
      <c r="AA67" s="253"/>
      <c r="AB67" s="253"/>
      <c r="AC67" s="253"/>
      <c r="AD67" s="253"/>
      <c r="AE67" s="253"/>
      <c r="AF67" s="253"/>
    </row>
    <row r="68" spans="2:32" ht="5.0999999999999996" customHeight="1" thickTop="1" x14ac:dyDescent="0.2">
      <c r="B68" s="652"/>
      <c r="C68" s="653"/>
      <c r="D68" s="653"/>
      <c r="E68" s="653"/>
      <c r="F68" s="653"/>
      <c r="G68" s="653"/>
      <c r="H68" s="653"/>
      <c r="I68" s="653"/>
      <c r="J68" s="653"/>
      <c r="K68" s="653"/>
      <c r="L68" s="653"/>
      <c r="M68" s="653"/>
      <c r="N68" s="653"/>
      <c r="O68" s="653"/>
      <c r="P68" s="653"/>
      <c r="Q68" s="653"/>
      <c r="R68" s="653"/>
      <c r="S68" s="653"/>
      <c r="T68" s="654"/>
      <c r="W68" s="253"/>
      <c r="X68" s="253"/>
      <c r="Y68" s="253"/>
      <c r="Z68" s="253"/>
      <c r="AA68" s="253"/>
      <c r="AB68" s="253"/>
      <c r="AC68" s="253"/>
      <c r="AD68" s="253"/>
      <c r="AE68" s="253"/>
      <c r="AF68" s="253"/>
    </row>
    <row r="69" spans="2:32" ht="18" customHeight="1" x14ac:dyDescent="0.2">
      <c r="W69" s="591" t="s">
        <v>397</v>
      </c>
      <c r="X69" s="3" t="s">
        <v>184</v>
      </c>
      <c r="Y69" s="3" t="s">
        <v>185</v>
      </c>
    </row>
    <row r="70" spans="2:32" x14ac:dyDescent="0.2">
      <c r="B70" s="512"/>
      <c r="C70" s="655" t="s">
        <v>419</v>
      </c>
      <c r="D70" s="655"/>
      <c r="E70" s="512"/>
      <c r="F70" s="512"/>
      <c r="R70" s="655" t="str">
        <f>Applicants!A1</f>
        <v>Serviceability Calculator - v04.08.2026</v>
      </c>
      <c r="W70" s="512" t="s">
        <v>386</v>
      </c>
      <c r="X70" s="656">
        <f>IF(AND(Y58="Y",$AB$65=TRUE),P50*Z50,AE50)</f>
        <v>0</v>
      </c>
      <c r="Y70" s="657">
        <f>IF(AND(X58="Y",$AB$65=TRUE),0,AE50)</f>
        <v>0</v>
      </c>
      <c r="Z70" s="658"/>
    </row>
    <row r="71" spans="2:32" x14ac:dyDescent="0.2">
      <c r="B71" s="512"/>
      <c r="C71" s="655" t="s">
        <v>420</v>
      </c>
      <c r="D71" s="512"/>
      <c r="I71" s="512"/>
      <c r="J71" s="512"/>
      <c r="R71" s="655" t="str">
        <f ca="1">"© Think Tank Group Pty Ltd, "&amp;YEAR(IF(ApplicationDate="",TODAY(),ApplicationDate))</f>
        <v>© Think Tank Group Pty Ltd, 2026</v>
      </c>
      <c r="W71" s="512" t="s">
        <v>387</v>
      </c>
      <c r="X71" s="656">
        <f t="shared" ref="X71:X74" si="22">IF(AND(Y59="Y",$AB$65=TRUE),P51*Z51,AE51)</f>
        <v>0</v>
      </c>
      <c r="Y71" s="657">
        <f t="shared" ref="Y71:Y74" si="23">IF(AND(X59="Y",$AB$65=TRUE),0,AE51)</f>
        <v>0</v>
      </c>
      <c r="Z71" s="658"/>
    </row>
    <row r="72" spans="2:32" x14ac:dyDescent="0.2">
      <c r="C72" s="655" t="s">
        <v>421</v>
      </c>
      <c r="D72" s="512"/>
      <c r="I72" s="512"/>
      <c r="J72" s="512"/>
      <c r="W72" s="512" t="s">
        <v>388</v>
      </c>
      <c r="X72" s="656">
        <f t="shared" si="22"/>
        <v>0</v>
      </c>
      <c r="Y72" s="657">
        <f t="shared" si="23"/>
        <v>0</v>
      </c>
      <c r="Z72" s="658"/>
    </row>
    <row r="73" spans="2:32" x14ac:dyDescent="0.2">
      <c r="I73" s="512"/>
      <c r="J73" s="512"/>
      <c r="W73" s="512" t="s">
        <v>389</v>
      </c>
      <c r="X73" s="656">
        <f t="shared" si="22"/>
        <v>0</v>
      </c>
      <c r="Y73" s="657">
        <f t="shared" si="23"/>
        <v>0</v>
      </c>
      <c r="Z73" s="658"/>
    </row>
    <row r="74" spans="2:32" x14ac:dyDescent="0.2">
      <c r="W74" s="659" t="s">
        <v>390</v>
      </c>
      <c r="X74" s="660">
        <f t="shared" si="22"/>
        <v>0</v>
      </c>
      <c r="Y74" s="660">
        <f t="shared" si="23"/>
        <v>0</v>
      </c>
      <c r="Z74" s="661"/>
      <c r="AA74" s="178"/>
      <c r="AB74" s="178"/>
      <c r="AC74" s="178"/>
    </row>
    <row r="75" spans="2:32" x14ac:dyDescent="0.2">
      <c r="W75" s="3" t="s">
        <v>422</v>
      </c>
      <c r="X75" s="662">
        <f>SUM(X70:X74)</f>
        <v>0</v>
      </c>
      <c r="Y75" s="662">
        <f>SUM(Y70:Y74)</f>
        <v>0</v>
      </c>
      <c r="Z75" s="658"/>
    </row>
    <row r="76" spans="2:32" x14ac:dyDescent="0.2">
      <c r="W76" s="3" t="s">
        <v>423</v>
      </c>
      <c r="X76" s="3" t="str">
        <f>IF(X75&gt;=Y75,"Y","N")</f>
        <v>Y</v>
      </c>
      <c r="Y76" s="3" t="str">
        <f>IF(Y75&gt;X75,"Y","N")</f>
        <v>N</v>
      </c>
    </row>
    <row r="82" spans="12:35" x14ac:dyDescent="0.2">
      <c r="L82" s="512"/>
      <c r="M82" s="512"/>
      <c r="N82" s="512"/>
      <c r="O82" s="512"/>
      <c r="P82" s="512"/>
      <c r="Q82" s="512"/>
      <c r="R82" s="512"/>
      <c r="S82" s="512"/>
      <c r="T82" s="512"/>
      <c r="U82" s="512"/>
      <c r="V82" s="512"/>
      <c r="W82" s="512"/>
      <c r="X82" s="512"/>
    </row>
    <row r="83" spans="12:35" x14ac:dyDescent="0.2">
      <c r="Y83" s="512"/>
      <c r="Z83" s="512"/>
      <c r="AA83" s="512"/>
      <c r="AB83" s="512"/>
      <c r="AC83" s="512"/>
      <c r="AD83" s="512"/>
      <c r="AE83" s="512"/>
      <c r="AF83" s="512"/>
      <c r="AG83" s="512"/>
      <c r="AH83" s="512"/>
      <c r="AI83" s="512"/>
    </row>
    <row r="106" spans="7:7" x14ac:dyDescent="0.2">
      <c r="G106" s="663"/>
    </row>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fjH+6ZSFd9oshEsgw1i7rHIRjLI7p2KqoZwzfYo4zqy/6AFgCjDYb96nlMzzOMCwy9Ox02CjjtBIN6UvlDiqvQ==" saltValue="Fk+hjCkkVT1s2jOjS4UOxw==" spinCount="100000" sheet="1" objects="1" scenarios="1"/>
  <dataConsolidate/>
  <mergeCells count="65">
    <mergeCell ref="F54:G54"/>
    <mergeCell ref="F47:G47"/>
    <mergeCell ref="F49:G49"/>
    <mergeCell ref="F50:G50"/>
    <mergeCell ref="F51:G51"/>
    <mergeCell ref="F52:G52"/>
    <mergeCell ref="F53:G53"/>
    <mergeCell ref="F46:G46"/>
    <mergeCell ref="F33:G33"/>
    <mergeCell ref="O33:P33"/>
    <mergeCell ref="F34:G34"/>
    <mergeCell ref="F35:G35"/>
    <mergeCell ref="F36:G36"/>
    <mergeCell ref="F40:G40"/>
    <mergeCell ref="F41:G41"/>
    <mergeCell ref="F42:G42"/>
    <mergeCell ref="F43:G43"/>
    <mergeCell ref="F44:G44"/>
    <mergeCell ref="F45:G45"/>
    <mergeCell ref="F32:G32"/>
    <mergeCell ref="O32:P32"/>
    <mergeCell ref="F28:G28"/>
    <mergeCell ref="O28:P28"/>
    <mergeCell ref="Q28:S28"/>
    <mergeCell ref="F29:G29"/>
    <mergeCell ref="O29:P29"/>
    <mergeCell ref="Q29:S29"/>
    <mergeCell ref="O30:P30"/>
    <mergeCell ref="Q30:S30"/>
    <mergeCell ref="F31:G31"/>
    <mergeCell ref="O31:P31"/>
    <mergeCell ref="Q31:S31"/>
    <mergeCell ref="F26:G26"/>
    <mergeCell ref="O26:P26"/>
    <mergeCell ref="Q26:S26"/>
    <mergeCell ref="F27:G27"/>
    <mergeCell ref="O27:P27"/>
    <mergeCell ref="Q27:S27"/>
    <mergeCell ref="F24:G24"/>
    <mergeCell ref="O24:P24"/>
    <mergeCell ref="Q24:S24"/>
    <mergeCell ref="F25:G25"/>
    <mergeCell ref="O25:P25"/>
    <mergeCell ref="Q25:S25"/>
    <mergeCell ref="F23:G23"/>
    <mergeCell ref="O23:P23"/>
    <mergeCell ref="Q23:S23"/>
    <mergeCell ref="D12:F12"/>
    <mergeCell ref="K12:S12"/>
    <mergeCell ref="D14:F14"/>
    <mergeCell ref="K14:S14"/>
    <mergeCell ref="D16:F16"/>
    <mergeCell ref="K16:S16"/>
    <mergeCell ref="D18:F18"/>
    <mergeCell ref="K18:S18"/>
    <mergeCell ref="F22:G22"/>
    <mergeCell ref="O22:P22"/>
    <mergeCell ref="Q22:S22"/>
    <mergeCell ref="D10:F10"/>
    <mergeCell ref="K10:S10"/>
    <mergeCell ref="D4:E4"/>
    <mergeCell ref="D6:F6"/>
    <mergeCell ref="K6:S6"/>
    <mergeCell ref="D8:F8"/>
    <mergeCell ref="K8:S8"/>
  </mergeCells>
  <conditionalFormatting sqref="D35">
    <cfRule type="expression" dxfId="27" priority="29">
      <formula>AND($F$32&gt;0,$F$33&gt;0,$D$35&gt;0)</formula>
    </cfRule>
  </conditionalFormatting>
  <conditionalFormatting sqref="E35">
    <cfRule type="expression" dxfId="26" priority="30">
      <formula>AND($F$32&gt;0,$F$33&gt;0,$E$35&gt;0)</formula>
    </cfRule>
  </conditionalFormatting>
  <conditionalFormatting sqref="F35:G35">
    <cfRule type="expression" dxfId="25" priority="31">
      <formula>AND($F$32&gt;0,$F$33&gt;0,$F$35&gt;0)</formula>
    </cfRule>
  </conditionalFormatting>
  <conditionalFormatting sqref="J4:T4 B20:H20 J20:T20 C22:G22 K22:S22 C31:G31 C34:G34 B38:H38 J38:T38 C40:G40 K40:P40 C49:G49 K49:S49 B56:T56">
    <cfRule type="expression" dxfId="24" priority="1">
      <formula>OR( Branding = "YBR")</formula>
    </cfRule>
    <cfRule type="expression" dxfId="23" priority="2">
      <formula>OR( Branding = "Paramount")</formula>
    </cfRule>
    <cfRule type="expression" dxfId="22" priority="22">
      <formula>OR( Branding = "Thrive")</formula>
    </cfRule>
    <cfRule type="expression" dxfId="21" priority="23">
      <formula>OR( Branding = "WINWIN")</formula>
    </cfRule>
    <cfRule type="expression" dxfId="20" priority="24">
      <formula>OR( Branding = "RM")</formula>
    </cfRule>
    <cfRule type="expression" dxfId="19" priority="25">
      <formula>OR( Branding = "Go Beyond")</formula>
    </cfRule>
    <cfRule type="expression" dxfId="18" priority="26">
      <formula>OR( Branding = "AFG Align")</formula>
    </cfRule>
    <cfRule type="expression" dxfId="17" priority="27">
      <formula>OR( Branding = "AFG")</formula>
    </cfRule>
    <cfRule type="expression" dxfId="16" priority="28">
      <formula>OR( Branding = "CON")</formula>
    </cfRule>
  </conditionalFormatting>
  <conditionalFormatting sqref="M50:M54">
    <cfRule type="expression" dxfId="15" priority="3">
      <formula>AND(M50="Residential",OR(N50="GST",N50="NCCL"))</formula>
    </cfRule>
    <cfRule type="expression" dxfId="14" priority="4">
      <formula>AND(N50="SMSF Easy Refi",M50="Commercial")</formula>
    </cfRule>
  </conditionalFormatting>
  <conditionalFormatting sqref="M65">
    <cfRule type="cellIs" dxfId="9" priority="32" operator="equal">
      <formula>"Fail"</formula>
    </cfRule>
    <cfRule type="cellIs" dxfId="8" priority="33" operator="equal">
      <formula>"Accept"</formula>
    </cfRule>
  </conditionalFormatting>
  <conditionalFormatting sqref="M67">
    <cfRule type="cellIs" dxfId="7" priority="19" operator="equal">
      <formula>"Fail"</formula>
    </cfRule>
    <cfRule type="cellIs" dxfId="6" priority="20" operator="equal">
      <formula>"Accept"</formula>
    </cfRule>
  </conditionalFormatting>
  <conditionalFormatting sqref="R50:S50">
    <cfRule type="expression" dxfId="5" priority="13">
      <formula>$N$50="NCCL"</formula>
    </cfRule>
  </conditionalFormatting>
  <conditionalFormatting sqref="R51:S51">
    <cfRule type="expression" dxfId="4" priority="12">
      <formula>$N$51="NCCL"</formula>
    </cfRule>
  </conditionalFormatting>
  <conditionalFormatting sqref="R52:S52">
    <cfRule type="expression" dxfId="3" priority="11">
      <formula>$N$52="NCCL"</formula>
    </cfRule>
  </conditionalFormatting>
  <conditionalFormatting sqref="R53:S53">
    <cfRule type="expression" dxfId="2" priority="10">
      <formula>$N$53="NCCL"</formula>
    </cfRule>
  </conditionalFormatting>
  <conditionalFormatting sqref="R54:S54">
    <cfRule type="expression" dxfId="1" priority="9">
      <formula>$N$54="NCCL"</formula>
    </cfRule>
  </conditionalFormatting>
  <conditionalFormatting sqref="S50:S54">
    <cfRule type="expression" dxfId="0" priority="21">
      <formula>$O50="P&amp;I"</formula>
    </cfRule>
  </conditionalFormatting>
  <dataValidations count="3">
    <dataValidation type="list" allowBlank="1" showInputMessage="1" showErrorMessage="1" sqref="M41:M47 M50:M55" xr:uid="{89F6B982-9E2C-4B93-A422-0198403F52FF}">
      <formula1>"Commercial, Residential"</formula1>
    </dataValidation>
    <dataValidation type="list" allowBlank="1" showInputMessage="1" showErrorMessage="1" sqref="P55" xr:uid="{BC1B55E9-7D91-404D-98BF-52082C1B9EC8}">
      <formula1>INDIRECT(N55)</formula1>
    </dataValidation>
    <dataValidation type="list" allowBlank="1" showInputMessage="1" showErrorMessage="1" sqref="O50:O54" xr:uid="{E6A75654-56D6-41E0-BBC8-A5620B71C14F}">
      <formula1>INDIRECT(SUBSTITUTE(N50," ",""))</formula1>
    </dataValidation>
  </dataValidation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 id="{E4A41650-AA46-4DEA-858A-82D2EE2E9D88}">
            <xm:f>$M$58&lt;Assumptions!$K$9</xm:f>
            <x14:dxf>
              <font>
                <color rgb="FFE32E6E"/>
              </font>
              <fill>
                <patternFill>
                  <bgColor rgb="FFFFC7CE"/>
                </patternFill>
              </fill>
            </x14:dxf>
          </x14:cfRule>
          <x14:cfRule type="expression" priority="8" id="{CE243E96-97E1-40C6-A112-5ADB62163BA5}">
            <xm:f>$M$58&gt;=Assumptions!$K$9</xm:f>
            <x14:dxf>
              <font>
                <color rgb="FF00644B"/>
              </font>
              <fill>
                <patternFill>
                  <bgColor rgb="FFC6EFCE"/>
                </patternFill>
              </fill>
            </x14:dxf>
          </x14:cfRule>
          <xm:sqref>M58</xm:sqref>
        </x14:conditionalFormatting>
        <x14:conditionalFormatting xmlns:xm="http://schemas.microsoft.com/office/excel/2006/main">
          <x14:cfRule type="expression" priority="5" id="{C529FCFA-E961-4F60-8340-2AAB382D0150}">
            <xm:f>$M$62&lt;=Assumptions!$K$10</xm:f>
            <x14:dxf>
              <font>
                <color rgb="FFE32E6E"/>
              </font>
              <fill>
                <patternFill>
                  <bgColor rgb="FFFFC7CE"/>
                </patternFill>
              </fill>
            </x14:dxf>
          </x14:cfRule>
          <x14:cfRule type="expression" priority="6" id="{E5690AC2-E93B-4BD7-B403-569623075BB9}">
            <xm:f>$M$62&gt;Assumptions!$K$10</xm:f>
            <x14:dxf>
              <font>
                <color rgb="FF00644B"/>
              </font>
              <fill>
                <patternFill>
                  <bgColor rgb="FFC6EFCE"/>
                </patternFill>
              </fill>
            </x14:dxf>
          </x14:cfRule>
          <xm:sqref>M62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F246054-D7A0-4BAB-AA59-00F670963698}">
          <x14:formula1>
            <xm:f>Assumptions!$F$12:$J$12</xm:f>
          </x14:formula1>
          <xm:sqref>N50:N54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F047E-7154-490E-B1B6-44BDA895D5D4}">
  <sheetPr codeName="Sheet10"/>
  <dimension ref="A1:AS2909"/>
  <sheetViews>
    <sheetView topLeftCell="C1" zoomScaleNormal="100" workbookViewId="0">
      <selection activeCell="S5" sqref="S5"/>
    </sheetView>
  </sheetViews>
  <sheetFormatPr defaultColWidth="14.7109375" defaultRowHeight="12.75" x14ac:dyDescent="0.2"/>
  <cols>
    <col min="1" max="1" width="14.7109375" customWidth="1"/>
    <col min="2" max="3" width="23.42578125" customWidth="1"/>
    <col min="4" max="4" width="22" customWidth="1"/>
    <col min="5" max="7" width="14.7109375" customWidth="1"/>
    <col min="12" max="15" width="14.7109375" customWidth="1"/>
  </cols>
  <sheetData>
    <row r="1" spans="1:19" x14ac:dyDescent="0.2">
      <c r="A1" s="664" t="s">
        <v>424</v>
      </c>
      <c r="C1" s="1"/>
    </row>
    <row r="2" spans="1:19" x14ac:dyDescent="0.2">
      <c r="A2" s="1" t="s">
        <v>425</v>
      </c>
      <c r="B2" s="665">
        <v>0.25</v>
      </c>
    </row>
    <row r="3" spans="1:19" x14ac:dyDescent="0.2">
      <c r="A3" s="1" t="s">
        <v>426</v>
      </c>
      <c r="B3" s="666">
        <v>0.2</v>
      </c>
      <c r="F3" s="667" t="s">
        <v>4</v>
      </c>
      <c r="G3" s="668"/>
      <c r="H3" s="668"/>
      <c r="I3" s="669"/>
      <c r="Q3" t="s">
        <v>427</v>
      </c>
      <c r="R3" s="664" t="s">
        <v>428</v>
      </c>
      <c r="S3" s="670" t="s">
        <v>427</v>
      </c>
    </row>
    <row r="4" spans="1:19" x14ac:dyDescent="0.2">
      <c r="A4" s="1" t="s">
        <v>429</v>
      </c>
      <c r="B4" s="671">
        <v>0.02</v>
      </c>
      <c r="C4" s="1" t="s">
        <v>430</v>
      </c>
      <c r="E4" s="671">
        <v>0.02</v>
      </c>
      <c r="F4" s="672" t="s">
        <v>429</v>
      </c>
      <c r="G4" s="671">
        <v>0.02</v>
      </c>
      <c r="H4" t="s">
        <v>431</v>
      </c>
      <c r="I4" s="673">
        <v>0.02</v>
      </c>
      <c r="Q4" t="s">
        <v>432</v>
      </c>
      <c r="R4" s="664" t="s">
        <v>433</v>
      </c>
      <c r="S4" s="674" t="s">
        <v>609</v>
      </c>
    </row>
    <row r="5" spans="1:19" x14ac:dyDescent="0.2">
      <c r="A5" s="1" t="s">
        <v>434</v>
      </c>
      <c r="B5" s="671">
        <v>7.0000000000000007E-2</v>
      </c>
      <c r="C5" s="1" t="s">
        <v>435</v>
      </c>
      <c r="E5" s="671">
        <v>7.0000000000000007E-2</v>
      </c>
      <c r="F5" s="675" t="s">
        <v>434</v>
      </c>
      <c r="G5" s="676">
        <v>7.0000000000000007E-2</v>
      </c>
      <c r="H5" s="529" t="s">
        <v>436</v>
      </c>
      <c r="I5" s="677">
        <v>7.0000000000000007E-2</v>
      </c>
      <c r="Q5" t="s">
        <v>437</v>
      </c>
      <c r="R5" s="664" t="s">
        <v>438</v>
      </c>
      <c r="S5" s="678" t="s">
        <v>439</v>
      </c>
    </row>
    <row r="6" spans="1:19" x14ac:dyDescent="0.2">
      <c r="A6" s="1" t="s">
        <v>440</v>
      </c>
      <c r="B6" s="665">
        <v>3.9E-2</v>
      </c>
      <c r="C6" s="1" t="s">
        <v>441</v>
      </c>
      <c r="E6" s="679">
        <v>0.03</v>
      </c>
      <c r="Q6" s="1" t="s">
        <v>442</v>
      </c>
      <c r="R6" s="664" t="s">
        <v>443</v>
      </c>
      <c r="S6" s="1" t="s">
        <v>444</v>
      </c>
    </row>
    <row r="7" spans="1:19" x14ac:dyDescent="0.2">
      <c r="A7" s="1" t="s">
        <v>445</v>
      </c>
      <c r="B7" s="680">
        <v>0.2</v>
      </c>
      <c r="C7" s="1" t="s">
        <v>446</v>
      </c>
      <c r="E7" s="679">
        <v>5.0000000000000001E-3</v>
      </c>
      <c r="Q7" t="s">
        <v>447</v>
      </c>
      <c r="R7" s="664" t="s">
        <v>443</v>
      </c>
      <c r="S7" t="s">
        <v>448</v>
      </c>
    </row>
    <row r="8" spans="1:19" x14ac:dyDescent="0.2">
      <c r="A8" s="1" t="s">
        <v>449</v>
      </c>
      <c r="B8" s="681">
        <v>0.02</v>
      </c>
      <c r="C8" s="1" t="s">
        <v>450</v>
      </c>
      <c r="E8" s="679">
        <v>0.01</v>
      </c>
      <c r="G8" t="s">
        <v>95</v>
      </c>
      <c r="H8" s="682" t="s">
        <v>106</v>
      </c>
      <c r="I8" s="682" t="s">
        <v>100</v>
      </c>
      <c r="J8" t="s">
        <v>108</v>
      </c>
      <c r="K8" t="s">
        <v>4</v>
      </c>
      <c r="L8" t="s">
        <v>109</v>
      </c>
      <c r="M8" s="1" t="s">
        <v>451</v>
      </c>
      <c r="N8" s="1" t="s">
        <v>452</v>
      </c>
      <c r="O8" s="1" t="s">
        <v>453</v>
      </c>
      <c r="Q8" t="s">
        <v>454</v>
      </c>
      <c r="R8" s="664" t="s">
        <v>443</v>
      </c>
      <c r="S8" t="s">
        <v>455</v>
      </c>
    </row>
    <row r="9" spans="1:19" x14ac:dyDescent="0.2">
      <c r="A9" s="1" t="s">
        <v>456</v>
      </c>
      <c r="B9" s="683">
        <f>27*12</f>
        <v>324</v>
      </c>
      <c r="C9" s="1" t="s">
        <v>457</v>
      </c>
      <c r="E9" s="684">
        <v>-0.2</v>
      </c>
      <c r="F9" t="s">
        <v>404</v>
      </c>
      <c r="G9" s="685">
        <v>1.5</v>
      </c>
      <c r="H9" s="682">
        <v>1.75</v>
      </c>
      <c r="I9" s="686">
        <v>1.75</v>
      </c>
      <c r="J9" s="685">
        <v>2</v>
      </c>
      <c r="K9" s="685">
        <v>1.5</v>
      </c>
      <c r="L9" s="685">
        <v>1.25</v>
      </c>
      <c r="M9" s="685">
        <v>1.25</v>
      </c>
      <c r="N9" s="685">
        <v>1.25</v>
      </c>
      <c r="O9" s="685">
        <v>0</v>
      </c>
      <c r="Q9" t="str">
        <f t="shared" ref="Q9:Q10" si="0">C2905</f>
        <v>Thrive</v>
      </c>
    </row>
    <row r="10" spans="1:19" x14ac:dyDescent="0.2">
      <c r="A10" s="1" t="s">
        <v>458</v>
      </c>
      <c r="B10" s="687">
        <v>60</v>
      </c>
      <c r="F10" t="s">
        <v>412</v>
      </c>
      <c r="G10" s="685">
        <v>1</v>
      </c>
      <c r="H10" s="685">
        <v>1</v>
      </c>
      <c r="I10" s="685">
        <v>1</v>
      </c>
      <c r="J10" s="685">
        <v>1</v>
      </c>
      <c r="K10" s="685">
        <v>1</v>
      </c>
      <c r="L10" s="685"/>
      <c r="Q10" s="688" t="str">
        <f t="shared" si="0"/>
        <v xml:space="preserve">LJ Hooker </v>
      </c>
    </row>
    <row r="11" spans="1:19" x14ac:dyDescent="0.2">
      <c r="A11" s="1" t="s">
        <v>459</v>
      </c>
      <c r="B11" s="687">
        <v>60</v>
      </c>
      <c r="Q11" s="1" t="s">
        <v>460</v>
      </c>
    </row>
    <row r="12" spans="1:19" x14ac:dyDescent="0.2">
      <c r="A12" s="1" t="s">
        <v>461</v>
      </c>
      <c r="B12" s="681">
        <v>0.4</v>
      </c>
      <c r="F12" t="s">
        <v>4</v>
      </c>
      <c r="G12" t="s">
        <v>462</v>
      </c>
      <c r="H12" s="1" t="s">
        <v>463</v>
      </c>
      <c r="I12" s="689" t="s">
        <v>464</v>
      </c>
      <c r="J12" s="1" t="s">
        <v>146</v>
      </c>
      <c r="Q12" s="1" t="s">
        <v>465</v>
      </c>
    </row>
    <row r="13" spans="1:19" x14ac:dyDescent="0.2">
      <c r="A13" s="1" t="s">
        <v>466</v>
      </c>
      <c r="B13" s="687">
        <v>100000</v>
      </c>
      <c r="F13" t="s">
        <v>114</v>
      </c>
      <c r="G13" t="s">
        <v>467</v>
      </c>
      <c r="H13" t="s">
        <v>467</v>
      </c>
      <c r="I13" s="1" t="s">
        <v>114</v>
      </c>
      <c r="J13" s="1" t="s">
        <v>114</v>
      </c>
      <c r="Q13" s="1" t="s">
        <v>468</v>
      </c>
    </row>
    <row r="14" spans="1:19" x14ac:dyDescent="0.2">
      <c r="A14" s="1" t="s">
        <v>469</v>
      </c>
      <c r="B14" s="681">
        <v>0.5</v>
      </c>
      <c r="F14" t="s">
        <v>467</v>
      </c>
      <c r="I14" t="s">
        <v>467</v>
      </c>
    </row>
    <row r="15" spans="1:19" x14ac:dyDescent="0.2">
      <c r="A15" s="1" t="s">
        <v>470</v>
      </c>
      <c r="B15" s="681">
        <v>0</v>
      </c>
      <c r="F15" s="1" t="s">
        <v>471</v>
      </c>
      <c r="G15" s="671">
        <v>0.04</v>
      </c>
    </row>
    <row r="16" spans="1:19" x14ac:dyDescent="0.2">
      <c r="A16" s="1"/>
      <c r="B16" s="690"/>
      <c r="F16" s="1" t="s">
        <v>472</v>
      </c>
      <c r="G16" s="691">
        <v>2500</v>
      </c>
    </row>
    <row r="17" spans="1:19" x14ac:dyDescent="0.2">
      <c r="A17" s="664" t="s">
        <v>473</v>
      </c>
      <c r="B17" s="690"/>
      <c r="F17" s="1" t="s">
        <v>474</v>
      </c>
      <c r="G17" s="671">
        <v>0.2</v>
      </c>
    </row>
    <row r="18" spans="1:19" x14ac:dyDescent="0.2">
      <c r="A18" s="691">
        <v>0</v>
      </c>
      <c r="B18" s="692">
        <v>0</v>
      </c>
      <c r="C18" s="693">
        <f>B18*A18</f>
        <v>0</v>
      </c>
    </row>
    <row r="19" spans="1:19" x14ac:dyDescent="0.2">
      <c r="A19" s="691">
        <v>18200</v>
      </c>
      <c r="B19" s="694">
        <v>0</v>
      </c>
      <c r="C19" s="693">
        <f t="shared" ref="C19" si="1">C18+(A19-A18)*B19</f>
        <v>0</v>
      </c>
    </row>
    <row r="20" spans="1:19" x14ac:dyDescent="0.2">
      <c r="A20" s="691">
        <v>45000</v>
      </c>
      <c r="B20" s="694">
        <v>0.15</v>
      </c>
      <c r="C20" s="693">
        <f>C19+(A20-A19)*B20</f>
        <v>4020</v>
      </c>
    </row>
    <row r="21" spans="1:19" x14ac:dyDescent="0.2">
      <c r="A21" s="691">
        <v>135000</v>
      </c>
      <c r="B21" s="694">
        <v>0.3</v>
      </c>
      <c r="C21" s="693">
        <f t="shared" ref="C21:C22" si="2">C20+(A21-A20)*B21</f>
        <v>31020</v>
      </c>
    </row>
    <row r="22" spans="1:19" x14ac:dyDescent="0.2">
      <c r="A22" s="691">
        <v>190000</v>
      </c>
      <c r="B22" s="694">
        <v>0.37</v>
      </c>
      <c r="C22" s="693">
        <f t="shared" si="2"/>
        <v>51370</v>
      </c>
    </row>
    <row r="23" spans="1:19" x14ac:dyDescent="0.2">
      <c r="A23" s="691">
        <v>10000000</v>
      </c>
      <c r="B23" s="694">
        <v>0.45</v>
      </c>
    </row>
    <row r="25" spans="1:19" x14ac:dyDescent="0.2">
      <c r="A25" s="1" t="s">
        <v>475</v>
      </c>
      <c r="B25" s="666">
        <v>0.02</v>
      </c>
    </row>
    <row r="26" spans="1:19" x14ac:dyDescent="0.2">
      <c r="A26" s="1"/>
      <c r="B26" s="684"/>
      <c r="G26" s="1"/>
    </row>
    <row r="27" spans="1:19" x14ac:dyDescent="0.2">
      <c r="A27" s="1"/>
      <c r="B27" s="695" t="s">
        <v>476</v>
      </c>
      <c r="C27" t="s">
        <v>80</v>
      </c>
      <c r="D27" s="1" t="s">
        <v>477</v>
      </c>
      <c r="F27" t="s">
        <v>55</v>
      </c>
      <c r="H27" s="1"/>
      <c r="J27" s="1" t="s">
        <v>56</v>
      </c>
      <c r="N27" s="1" t="s">
        <v>57</v>
      </c>
      <c r="R27" s="1" t="s">
        <v>58</v>
      </c>
    </row>
    <row r="28" spans="1:19" x14ac:dyDescent="0.2">
      <c r="A28" s="1" t="s">
        <v>55</v>
      </c>
      <c r="B28" s="696">
        <f>IFERROR(INDEX($F$29:$G$31,MIN(Applicants!J17+1,3),Applicants!I17)+MAX(Applicants!J17-2,0)*INDEX($F$32:$G$32,1,Applicants!I17),0)</f>
        <v>0</v>
      </c>
      <c r="C28">
        <f>Applicants!H17</f>
        <v>0</v>
      </c>
      <c r="D28" t="e">
        <f>VLOOKUP(VLOOKUP(C28,$H$121:$I$2894,2,FALSE),$J$121:$K$138,2,FALSE)</f>
        <v>#N/A</v>
      </c>
      <c r="F28" t="s">
        <v>478</v>
      </c>
      <c r="G28" s="697" t="s">
        <v>479</v>
      </c>
      <c r="J28" t="s">
        <v>478</v>
      </c>
      <c r="K28" s="697" t="s">
        <v>479</v>
      </c>
      <c r="N28" t="s">
        <v>478</v>
      </c>
      <c r="O28" s="697" t="s">
        <v>479</v>
      </c>
      <c r="R28" t="s">
        <v>478</v>
      </c>
      <c r="S28" s="697" t="s">
        <v>479</v>
      </c>
    </row>
    <row r="29" spans="1:19" x14ac:dyDescent="0.2">
      <c r="A29" s="1" t="s">
        <v>56</v>
      </c>
      <c r="B29" s="696">
        <f>IFERROR(INDEX($J$29:$K$31,MIN(Applicants!J18+1,3),Applicants!I18)+MAX(Applicants!J18-2,0)*INDEX($J$32:$K$32,1,Applicants!I18),0)</f>
        <v>0</v>
      </c>
      <c r="C29">
        <f>Applicants!H18</f>
        <v>0</v>
      </c>
      <c r="D29" t="e">
        <f t="shared" ref="D29:D30" si="3">VLOOKUP(VLOOKUP(C29,$H$121:$I$2894,2,FALSE),$J$121:$K$138,2,FALSE)</f>
        <v>#N/A</v>
      </c>
      <c r="E29" t="s">
        <v>480</v>
      </c>
      <c r="F29" s="693" t="e">
        <f>INDEX($C$41:$M$54,MATCH($D$28,$A$41:$A$54,0),MIN(11,MATCH(MAX(SUMIF(Serviceability!$Z$55:$Z$58,$F$27,Serviceability!$Y$55:$Y$58),0),Assumptions!$B$40:$M$40,1)))</f>
        <v>#N/A</v>
      </c>
      <c r="G29" s="693" t="e">
        <f>INDEX($P$41:$Z$54,MATCH($D$28,$N$41:$N$54,0),MIN(11,MATCH(MAX(SUMIF(Serviceability!$Z$55:$Z$58,$F$27,Serviceability!$Y$55:$Y$58),0),Assumptions!$O$40:$Z$40,1)))</f>
        <v>#N/A</v>
      </c>
      <c r="I29" t="s">
        <v>480</v>
      </c>
      <c r="J29" s="693" t="e">
        <f>INDEX($C$41:$M$54,MATCH($D$29,$A$41:$A$54,0),MIN(11,MATCH(MAX(SUMIF(Serviceability!$Z$55:$Z$58,$J$27,Serviceability!$Y$55:$Y$58),0),Assumptions!$B$40:$M$40,1)))</f>
        <v>#N/A</v>
      </c>
      <c r="K29" s="693" t="e">
        <f>INDEX($P$41:$Z$54,MATCH($D$29,$N$41:$N$54,0),MIN(11,MATCH(MAX(SUMIF(Serviceability!$Z$55:$Z$58,$J$27,Serviceability!$Y$55:$Y$58),0),Assumptions!$O$40:$Z$40,1)))</f>
        <v>#N/A</v>
      </c>
      <c r="M29" t="s">
        <v>480</v>
      </c>
      <c r="N29" s="693" t="e">
        <f>INDEX($C$41:$M$54,MATCH($D$30,$A$41:$A$54,0),MIN(11,MATCH(MAX(SUMIF(Serviceability!$Z$55:$Z$58,$N$27,Serviceability!$Y$55:$Y$58),0),Assumptions!$B$40:$M$40,1)))</f>
        <v>#N/A</v>
      </c>
      <c r="O29" s="693" t="e">
        <f>INDEX($P$41:$Z$54,MATCH($D$30,$N$41:$N$54,0),MIN(11,MATCH(MAX(SUMIF(Serviceability!$Z$55:$Z$58,$N$27,Serviceability!$Y$55:$Y$58),0),Assumptions!$O$40:$Z$40,1)))</f>
        <v>#N/A</v>
      </c>
      <c r="Q29" t="s">
        <v>480</v>
      </c>
      <c r="R29" s="693" t="e">
        <f>INDEX($C$41:$M$54,MATCH($D$31,$A$41:$A$54,0),MIN(11,MATCH(MAX(SUMIF(Serviceability!$Z$55:$Z$58,$R$27,Serviceability!$Y$55:$Y$58),0),Assumptions!$B$40:$M$40,1)))</f>
        <v>#N/A</v>
      </c>
      <c r="S29" s="693" t="e">
        <f>INDEX($P$41:$Z$54,MATCH($D$31,$N$41:$N$54,0),MIN(11,MATCH(MAX(SUMIF(Serviceability!$Z$55:$Z$58,$R$27,Serviceability!$Y$55:$Y$58),0),Assumptions!$O$40:$Z$40,1)))</f>
        <v>#N/A</v>
      </c>
    </row>
    <row r="30" spans="1:19" x14ac:dyDescent="0.2">
      <c r="A30" s="1" t="s">
        <v>57</v>
      </c>
      <c r="B30" s="696">
        <f>IFERROR(INDEX($N$29:$O$31,MIN(Applicants!J19+1,3),Applicants!I19)+MAX(Applicants!J19-2,0)*INDEX($N$32:$O$32,1,Applicants!I19),0)</f>
        <v>0</v>
      </c>
      <c r="C30">
        <f>Applicants!H19</f>
        <v>0</v>
      </c>
      <c r="D30" t="e">
        <f t="shared" si="3"/>
        <v>#N/A</v>
      </c>
      <c r="E30" t="s">
        <v>481</v>
      </c>
      <c r="F30" s="693" t="e">
        <f>INDEX($C$59:$M$72,MATCH($D$28,$A$59:$A$72,0),MIN(11,MATCH(MAX(SUMIF(Serviceability!$Z$55:$Z$58,$F$27,Serviceability!$Y$55:$Y$58),0),Assumptions!$B$58:$M$58,1)))</f>
        <v>#N/A</v>
      </c>
      <c r="G30" s="693" t="e">
        <f>INDEX($P$59:$Z$72,MATCH($D$28,$N$59:$N$72,0),MIN(11,MATCH(MAX(SUMIF(Serviceability!$Z$55:$Z$58,$F$27,Serviceability!$Y$55:$Y$58),0),Assumptions!$O$58:$Z$58,1)))</f>
        <v>#N/A</v>
      </c>
      <c r="I30" t="s">
        <v>481</v>
      </c>
      <c r="J30" s="693" t="e">
        <f>INDEX($C$59:$M$72,MATCH($D$29,$A$59:$A$72,0),MIN(11,MATCH(MAX(SUMIF(Serviceability!$Z$55:$Z$58,$J$27,Serviceability!$Y$55:$Y$58),0),Assumptions!$B$58:$M$58,1)))</f>
        <v>#N/A</v>
      </c>
      <c r="K30" s="693" t="e">
        <f>INDEX($P$59:$Z$72,MATCH($D$29,$N$59:$N$72,0),MIN(11,MATCH(MAX(SUMIF(Serviceability!$Z$55:$Z$58,$J$27,Serviceability!$Y$55:$Y$58),0),Assumptions!$O$58:$Z$58,1)))</f>
        <v>#N/A</v>
      </c>
      <c r="M30" t="s">
        <v>481</v>
      </c>
      <c r="N30" s="693" t="e">
        <f>INDEX($C$59:$M$72,MATCH($D$30,$A$59:$A$72,0),MIN(11,MATCH(MAX(SUMIF(Serviceability!$Z$55:$Z$58,$N$27,Serviceability!$Y$55:$Y$58),0),Assumptions!$B$58:$M$58,1)))</f>
        <v>#N/A</v>
      </c>
      <c r="O30" s="693" t="e">
        <f>INDEX($P$59:$Z$72,MATCH($D$30,$N$59:$N$72,0),MIN(11,MATCH(MAX(SUMIF(Serviceability!$Z$55:$Z$58,$N$27,Serviceability!$Y$55:$Y$58),0),Assumptions!$O$58:$Z$58,1)))</f>
        <v>#N/A</v>
      </c>
      <c r="Q30" t="s">
        <v>481</v>
      </c>
      <c r="R30" s="693" t="e">
        <f>INDEX($C$59:$M$72,MATCH($D$31,$A$59:$A$72,0),MIN(11,MATCH(MAX(SUMIF(Serviceability!$Z$55:$Z$58,$R$27,Serviceability!$Y$55:$Y$58),0),Assumptions!$B$58:$M$58,1)))</f>
        <v>#N/A</v>
      </c>
      <c r="S30" s="693" t="e">
        <f>INDEX($P$59:$Z$72,MATCH($D$31,$N$59:$N$72,0),MIN(11,MATCH(MAX(SUMIF(Serviceability!$Z$55:$Z$58,$R$27,Serviceability!$Y$55:$Y$58),0),Assumptions!$O$58:$Z$58,1)))</f>
        <v>#N/A</v>
      </c>
    </row>
    <row r="31" spans="1:19" x14ac:dyDescent="0.2">
      <c r="A31" s="1" t="s">
        <v>58</v>
      </c>
      <c r="B31" s="696">
        <f>IFERROR(INDEX($R$29:$S$31,MIN(Applicants!J20+1,3),Applicants!I20)+MAX(Applicants!J20-2,0)*INDEX($R$32:$S$32,1,Applicants!I20),)</f>
        <v>0</v>
      </c>
      <c r="C31">
        <v>0</v>
      </c>
      <c r="D31" t="e">
        <f>VLOOKUP(VLOOKUP(C31,$H$121:$I$2894,2,FALSE),$J$121:$K$138,2,FALSE)</f>
        <v>#N/A</v>
      </c>
      <c r="E31" t="s">
        <v>482</v>
      </c>
      <c r="F31" s="693" t="e">
        <f>INDEX($C$77:$M$90,MATCH($D$28,$A$77:$A$90,0),MIN(11,MATCH(MAX(SUMIF(Serviceability!$Z$55:$Z$58,$F$27,Serviceability!$Y$55:$Y$58),0),Assumptions!$B$76:$M$76,1)))</f>
        <v>#N/A</v>
      </c>
      <c r="G31" s="693" t="e">
        <f>INDEX($P$77:$Z$90,MATCH($D$28,$N$77:$N$90,0),MIN(11,MATCH(MAX(SUMIF(Serviceability!$Z$55:$Z$58,$F$27,Serviceability!$Y$55:$Y$58),0),Assumptions!$O$76:$Z$76,1)))</f>
        <v>#N/A</v>
      </c>
      <c r="I31" t="s">
        <v>482</v>
      </c>
      <c r="J31" s="693" t="e">
        <f>INDEX($C$77:$M$90,MATCH($D$29,$A$77:$A$90,0),MIN(11,MATCH(MAX(SUMIF(Serviceability!$Z$55:$Z$58,$J$27,Serviceability!$Y$55:$Y$58),0),Assumptions!$B$76:$M$76,1)))</f>
        <v>#N/A</v>
      </c>
      <c r="K31" s="693" t="e">
        <f>INDEX($P$77:$Z$90,MATCH($D$29,$N$77:$N$90,0),MIN(11,MATCH(MAX(SUMIF(Serviceability!$Z$55:$Z$58,$J$27,Serviceability!$Y$55:$Y$58),0),Assumptions!$O$76:$Z$76,1)))</f>
        <v>#N/A</v>
      </c>
      <c r="M31" t="s">
        <v>482</v>
      </c>
      <c r="N31" s="693" t="e">
        <f>INDEX($C$77:$M$90,MATCH($D$30,$A$77:$A$90,0),MIN(11,MATCH(MAX(SUMIF(Serviceability!$Z$55:$Z$58,$N$27,Serviceability!$Y$55:$Y$58),0),Assumptions!$B$76:$M$76,1)))</f>
        <v>#N/A</v>
      </c>
      <c r="O31" s="693" t="e">
        <f>INDEX($P$77:$Z$90,MATCH($D$30,$N$77:$N$90,0),MIN(11,MATCH(MAX(SUMIF(Serviceability!$Z$55:$Z$58,$N$27,Serviceability!$Y$55:$Y$58),0),Assumptions!$O$76:$Z$76,1)))</f>
        <v>#N/A</v>
      </c>
      <c r="Q31" t="s">
        <v>482</v>
      </c>
      <c r="R31" s="693" t="e">
        <f>INDEX($C$77:$M$90,MATCH($D$31,$A$77:$A$90,0),MIN(11,MATCH(MAX(SUMIF(Serviceability!$Z$55:$Z$58,$R$27,Serviceability!$Y$55:$Y$58),0),Assumptions!$B$76:$M$76,1)))</f>
        <v>#N/A</v>
      </c>
      <c r="S31" s="693" t="e">
        <f>INDEX($P$77:$Z$90,MATCH($D$31,$N$77:$N$90,0),MIN(11,MATCH(MAX(SUMIF(Serviceability!$Z$55:$Z$58,$R$27,Serviceability!$Y$55:$Y$58),0),Assumptions!$O$76:$Z$76,1)))</f>
        <v>#N/A</v>
      </c>
    </row>
    <row r="32" spans="1:19" x14ac:dyDescent="0.2">
      <c r="A32" s="1"/>
      <c r="B32" s="1"/>
      <c r="E32" t="s">
        <v>483</v>
      </c>
      <c r="F32" s="693" t="e">
        <f>INDEX($C$95:$M$108,MATCH($D$28,$A$95:$A$108,0),MIN(11,MATCH(MAX(SUMIF(Serviceability!$Z$55:$Z$58,$F$27,Serviceability!$Y$55:$Y$58),0),Assumptions!$B$94:$M$94,1)))</f>
        <v>#N/A</v>
      </c>
      <c r="G32" s="693" t="e">
        <f>INDEX($P$95:$Z$108,MATCH($D$28,$N$95:$N$108,0),MIN(11,MATCH(MAX(SUMIF(Serviceability!$Z$55:$Z$58,$F$27,Serviceability!$Y$55:$Y$58),0),Assumptions!$O$94:$Z$94,1)))</f>
        <v>#N/A</v>
      </c>
      <c r="I32" t="s">
        <v>483</v>
      </c>
      <c r="J32" s="693" t="e">
        <f>INDEX($C$95:$M$108,MATCH($D$29,$A$95:$A$108,0),MIN(11,MATCH(MAX(SUMIF(Serviceability!$Z$55:$Z$58,$J$27,Serviceability!$Y$55:$Y$58),0),Assumptions!$B$94:$M$94,1)))</f>
        <v>#N/A</v>
      </c>
      <c r="K32" s="693" t="e">
        <f>INDEX($P$95:$Z$108,MATCH($D$29,$N$95:$N$108,0),MIN(11,MATCH(MAX(SUMIF(Serviceability!$Z$55:$Z$58,$J$27,Serviceability!$Y$55:$Y$58),0),Assumptions!$O$94:$Z$94,1)))</f>
        <v>#N/A</v>
      </c>
      <c r="M32" t="s">
        <v>483</v>
      </c>
      <c r="N32" s="693" t="e">
        <f>INDEX($C$95:$M$108,MATCH($D$30,$A$95:$A$108,0),MIN(11,MATCH(MAX(SUMIF(Serviceability!$Z$55:$Z$58,$N$27,Serviceability!$Y$55:$Y$58),0),Assumptions!$B$94:$M$94,1)))</f>
        <v>#N/A</v>
      </c>
      <c r="O32" s="693" t="e">
        <f>INDEX($P$95:$Z$108,MATCH($D$30,$N$95:$N$108,0),MIN(11,MATCH(MAX(SUMIF(Serviceability!$Z$55:$Z$58,$N$27,Serviceability!$Y$55:$Y$58),0),Assumptions!$O$94:$Z$94,1)))</f>
        <v>#N/A</v>
      </c>
      <c r="Q32" t="s">
        <v>483</v>
      </c>
      <c r="R32" s="693" t="e">
        <f>INDEX($C$95:$M$108,MATCH($D$31,$A$95:$A$108,0),MIN(11,MATCH(MAX(SUMIF(Serviceability!$Z$55:$Z$58,$R$27,Serviceability!$Y$55:$Y$58),0),Assumptions!$B$94:$M$94,1)))</f>
        <v>#N/A</v>
      </c>
      <c r="S32" s="693" t="e">
        <f>INDEX($P$95:$Z$108,MATCH($D$31,$N$95:$N$108,0),MIN(11,MATCH(MAX(SUMIF(Serviceability!$Z$55:$Z$58,$R$27,Serviceability!$Y$55:$Y$58),0),Assumptions!$O$94:$Z$94,1)))</f>
        <v>#N/A</v>
      </c>
    </row>
    <row r="33" spans="1:26" x14ac:dyDescent="0.2">
      <c r="A33" s="1"/>
      <c r="B33" s="1"/>
      <c r="G33" s="697"/>
    </row>
    <row r="34" spans="1:26" x14ac:dyDescent="0.2">
      <c r="A34" s="1"/>
      <c r="B34" s="1"/>
      <c r="F34" s="698"/>
      <c r="G34" s="697"/>
    </row>
    <row r="35" spans="1:26" x14ac:dyDescent="0.2">
      <c r="A35" s="1"/>
      <c r="B35" s="1"/>
      <c r="G35" s="697"/>
    </row>
    <row r="36" spans="1:26" x14ac:dyDescent="0.2">
      <c r="G36" s="697"/>
    </row>
    <row r="37" spans="1:26" x14ac:dyDescent="0.2">
      <c r="G37" s="697"/>
    </row>
    <row r="38" spans="1:26" x14ac:dyDescent="0.2">
      <c r="B38" t="s">
        <v>484</v>
      </c>
      <c r="C38" t="s">
        <v>82</v>
      </c>
      <c r="G38" s="697"/>
      <c r="O38" t="s">
        <v>484</v>
      </c>
      <c r="P38" t="s">
        <v>82</v>
      </c>
      <c r="T38" s="697"/>
    </row>
    <row r="39" spans="1:26" x14ac:dyDescent="0.2">
      <c r="B39">
        <v>1</v>
      </c>
      <c r="C39">
        <v>0</v>
      </c>
      <c r="O39">
        <v>2</v>
      </c>
      <c r="P39">
        <v>0</v>
      </c>
    </row>
    <row r="40" spans="1:26" x14ac:dyDescent="0.2">
      <c r="A40" s="699"/>
      <c r="B40">
        <v>0</v>
      </c>
      <c r="C40" s="697">
        <f>S$122+0.01</f>
        <v>68000.009999999995</v>
      </c>
      <c r="D40" s="697">
        <f t="shared" ref="D40:L40" si="4">T$122+0.01</f>
        <v>82000.009999999995</v>
      </c>
      <c r="E40" s="697">
        <f t="shared" si="4"/>
        <v>109000.01</v>
      </c>
      <c r="F40" s="697">
        <f t="shared" si="4"/>
        <v>136000.01</v>
      </c>
      <c r="G40" s="697">
        <f t="shared" si="4"/>
        <v>163000.01</v>
      </c>
      <c r="H40" s="697">
        <f t="shared" si="4"/>
        <v>191000.01</v>
      </c>
      <c r="I40" s="697">
        <f t="shared" si="4"/>
        <v>218000.01</v>
      </c>
      <c r="J40" s="697">
        <f t="shared" si="4"/>
        <v>272000.01</v>
      </c>
      <c r="K40" s="697">
        <f t="shared" si="4"/>
        <v>341000.01</v>
      </c>
      <c r="L40" s="697">
        <f t="shared" si="4"/>
        <v>409000.01</v>
      </c>
      <c r="M40" s="697">
        <f>AC$122+0.01</f>
        <v>681000.01</v>
      </c>
      <c r="N40" s="699"/>
      <c r="O40">
        <v>0</v>
      </c>
      <c r="P40" s="697">
        <f>S$122</f>
        <v>68000</v>
      </c>
      <c r="Q40" s="697">
        <f t="shared" ref="Q40:Z40" si="5">T$122</f>
        <v>82000</v>
      </c>
      <c r="R40" s="697">
        <f t="shared" si="5"/>
        <v>109000</v>
      </c>
      <c r="S40" s="697">
        <f t="shared" si="5"/>
        <v>136000</v>
      </c>
      <c r="T40" s="697">
        <f t="shared" si="5"/>
        <v>163000</v>
      </c>
      <c r="U40" s="697">
        <f t="shared" si="5"/>
        <v>191000</v>
      </c>
      <c r="V40" s="697">
        <f t="shared" si="5"/>
        <v>218000</v>
      </c>
      <c r="W40" s="697">
        <f t="shared" si="5"/>
        <v>272000</v>
      </c>
      <c r="X40" s="697">
        <f t="shared" si="5"/>
        <v>341000</v>
      </c>
      <c r="Y40" s="697">
        <f t="shared" si="5"/>
        <v>409000</v>
      </c>
      <c r="Z40" s="697">
        <f t="shared" si="5"/>
        <v>681000</v>
      </c>
    </row>
    <row r="41" spans="1:26" x14ac:dyDescent="0.2">
      <c r="A41" t="s">
        <v>485</v>
      </c>
      <c r="B41" s="696">
        <f>B40+1</f>
        <v>1</v>
      </c>
      <c r="C41" s="700">
        <f t="shared" ref="C41:M54" ca="1" si="6">OFFSET(S$129,($B41-1)*12,0)</f>
        <v>376.94703715326239</v>
      </c>
      <c r="D41" s="700">
        <f t="shared" ca="1" si="6"/>
        <v>420.047817780755</v>
      </c>
      <c r="E41" s="700">
        <f t="shared" ca="1" si="6"/>
        <v>479.57133183916068</v>
      </c>
      <c r="F41" s="700">
        <f t="shared" ca="1" si="6"/>
        <v>566.01942198658423</v>
      </c>
      <c r="G41" s="700">
        <f t="shared" ca="1" si="6"/>
        <v>639.39811921506805</v>
      </c>
      <c r="H41" s="700">
        <f t="shared" ca="1" si="6"/>
        <v>727.55621934749888</v>
      </c>
      <c r="I41" s="700">
        <f t="shared" ca="1" si="6"/>
        <v>774.23007760877567</v>
      </c>
      <c r="J41" s="700">
        <f t="shared" ca="1" si="6"/>
        <v>828.79578083929698</v>
      </c>
      <c r="K41" s="700">
        <f t="shared" ca="1" si="6"/>
        <v>959.10620498547155</v>
      </c>
      <c r="L41" s="700">
        <f t="shared" ca="1" si="6"/>
        <v>1113.1416546540993</v>
      </c>
      <c r="M41" s="700">
        <f t="shared" ca="1" si="6"/>
        <v>1149.8565606040008</v>
      </c>
      <c r="N41" t="s">
        <v>485</v>
      </c>
      <c r="O41" s="696">
        <f>O40+1</f>
        <v>1</v>
      </c>
      <c r="P41" s="700">
        <f ca="1">OFFSET(S$124,($B41-1)*12,0)</f>
        <v>663.63034313580499</v>
      </c>
      <c r="Q41" s="700">
        <f t="shared" ref="Q41:Z54" ca="1" si="7">OFFSET(T$124,($B41-1)*12,0)</f>
        <v>707.14957645287461</v>
      </c>
      <c r="R41" s="700">
        <f t="shared" ca="1" si="7"/>
        <v>767.25098560479501</v>
      </c>
      <c r="S41" s="700">
        <f t="shared" ca="1" si="7"/>
        <v>854.53837407574485</v>
      </c>
      <c r="T41" s="700">
        <f t="shared" ca="1" si="7"/>
        <v>928.62948251094986</v>
      </c>
      <c r="U41" s="700">
        <f t="shared" ca="1" si="7"/>
        <v>1017.6434839161407</v>
      </c>
      <c r="V41" s="700">
        <f t="shared" ca="1" si="7"/>
        <v>1064.7704831526985</v>
      </c>
      <c r="W41" s="700">
        <f t="shared" ca="1" si="7"/>
        <v>1119.8659485400419</v>
      </c>
      <c r="X41" s="700">
        <f t="shared" ca="1" si="7"/>
        <v>1251.4415163417841</v>
      </c>
      <c r="Y41" s="700">
        <f t="shared" ca="1" si="7"/>
        <v>1406.9724497040506</v>
      </c>
      <c r="Z41" s="700">
        <f t="shared" ca="1" si="7"/>
        <v>1444.0438104934062</v>
      </c>
    </row>
    <row r="42" spans="1:26" x14ac:dyDescent="0.2">
      <c r="A42" t="s">
        <v>486</v>
      </c>
      <c r="B42" s="696">
        <f t="shared" ref="B42:B54" si="8">B41+1</f>
        <v>2</v>
      </c>
      <c r="C42" s="700">
        <f ca="1">OFFSET(S$129,($B42-1)*12,0)</f>
        <v>369.70766205063813</v>
      </c>
      <c r="D42" s="700">
        <f t="shared" ca="1" si="6"/>
        <v>412.80844234326213</v>
      </c>
      <c r="E42" s="700">
        <f t="shared" ca="1" si="6"/>
        <v>472.33195620578942</v>
      </c>
      <c r="F42" s="700">
        <f t="shared" ca="1" si="6"/>
        <v>558.7800468116518</v>
      </c>
      <c r="G42" s="700">
        <f t="shared" ca="1" si="6"/>
        <v>632.15874383675543</v>
      </c>
      <c r="H42" s="700">
        <f t="shared" ca="1" si="6"/>
        <v>720.3168437591379</v>
      </c>
      <c r="I42" s="700">
        <f t="shared" ca="1" si="6"/>
        <v>766.9907015336363</v>
      </c>
      <c r="J42" s="700">
        <f t="shared" ca="1" si="6"/>
        <v>821.55640516424944</v>
      </c>
      <c r="K42" s="700">
        <f t="shared" ca="1" si="6"/>
        <v>951.8668285835904</v>
      </c>
      <c r="L42" s="700">
        <f t="shared" ca="1" si="6"/>
        <v>1105.9022792391113</v>
      </c>
      <c r="M42" s="700">
        <f t="shared" ca="1" si="6"/>
        <v>1142.6171860158697</v>
      </c>
      <c r="N42" t="s">
        <v>486</v>
      </c>
      <c r="O42" s="696">
        <f t="shared" ref="O42:O54" si="9">O41+1</f>
        <v>2</v>
      </c>
      <c r="P42" s="700">
        <f t="shared" ref="P42:P54" ca="1" si="10">OFFSET(S$124,($B42-1)*12,0)</f>
        <v>656.52418926287396</v>
      </c>
      <c r="Q42" s="700">
        <f t="shared" ca="1" si="7"/>
        <v>700.04342220788442</v>
      </c>
      <c r="R42" s="700">
        <f t="shared" ca="1" si="7"/>
        <v>760.14483222133526</v>
      </c>
      <c r="S42" s="700">
        <f t="shared" ca="1" si="7"/>
        <v>847.43222177491623</v>
      </c>
      <c r="T42" s="700">
        <f t="shared" ca="1" si="7"/>
        <v>921.52332917628451</v>
      </c>
      <c r="U42" s="700">
        <f t="shared" ca="1" si="7"/>
        <v>1010.5373299776417</v>
      </c>
      <c r="V42" s="700">
        <f t="shared" ca="1" si="7"/>
        <v>1057.6643298851261</v>
      </c>
      <c r="W42" s="700">
        <f t="shared" ca="1" si="7"/>
        <v>1112.7597955713366</v>
      </c>
      <c r="X42" s="700">
        <f t="shared" ca="1" si="7"/>
        <v>1244.3353638427268</v>
      </c>
      <c r="Y42" s="700">
        <f t="shared" ca="1" si="7"/>
        <v>1399.8662978149264</v>
      </c>
      <c r="Z42" s="700">
        <f t="shared" ca="1" si="7"/>
        <v>1436.9376569574633</v>
      </c>
    </row>
    <row r="43" spans="1:26" x14ac:dyDescent="0.2">
      <c r="A43" t="s">
        <v>487</v>
      </c>
      <c r="B43" s="696">
        <f t="shared" si="8"/>
        <v>3</v>
      </c>
      <c r="C43" s="700">
        <f ca="1">OFFSET(S$129,($B43-1)*12,0)</f>
        <v>389.80234885636293</v>
      </c>
      <c r="D43" s="700">
        <f t="shared" ca="1" si="6"/>
        <v>432.90312973620524</v>
      </c>
      <c r="E43" s="700">
        <f t="shared" ca="1" si="6"/>
        <v>492.42664296775422</v>
      </c>
      <c r="F43" s="700">
        <f t="shared" ca="1" si="6"/>
        <v>578.87473352193797</v>
      </c>
      <c r="G43" s="700">
        <f t="shared" ca="1" si="6"/>
        <v>652.25342985688314</v>
      </c>
      <c r="H43" s="700">
        <f t="shared" ca="1" si="6"/>
        <v>740.41153083284121</v>
      </c>
      <c r="I43" s="700">
        <f t="shared" ca="1" si="6"/>
        <v>787.08538854732558</v>
      </c>
      <c r="J43" s="700">
        <f t="shared" ca="1" si="6"/>
        <v>841.65109231130282</v>
      </c>
      <c r="K43" s="700">
        <f t="shared" ca="1" si="6"/>
        <v>971.96151635078627</v>
      </c>
      <c r="L43" s="700">
        <f t="shared" ca="1" si="6"/>
        <v>1125.9969667662522</v>
      </c>
      <c r="M43" s="700">
        <f t="shared" ca="1" si="6"/>
        <v>1162.7118712824911</v>
      </c>
      <c r="N43" t="s">
        <v>487</v>
      </c>
      <c r="O43" s="696">
        <f t="shared" si="9"/>
        <v>3</v>
      </c>
      <c r="P43" s="700">
        <f t="shared" ca="1" si="10"/>
        <v>676.81396993914336</v>
      </c>
      <c r="Q43" s="700">
        <f t="shared" ca="1" si="7"/>
        <v>720.3332033050076</v>
      </c>
      <c r="R43" s="700">
        <f t="shared" ca="1" si="7"/>
        <v>780.43461219008236</v>
      </c>
      <c r="S43" s="700">
        <f t="shared" ca="1" si="7"/>
        <v>867.72200045670468</v>
      </c>
      <c r="T43" s="700">
        <f t="shared" ca="1" si="7"/>
        <v>941.81310919687598</v>
      </c>
      <c r="U43" s="700">
        <f t="shared" ca="1" si="7"/>
        <v>1030.82711066306</v>
      </c>
      <c r="V43" s="700">
        <f t="shared" ca="1" si="7"/>
        <v>1077.9541100338035</v>
      </c>
      <c r="W43" s="700">
        <f t="shared" ca="1" si="7"/>
        <v>1133.0495739939033</v>
      </c>
      <c r="X43" s="700">
        <f t="shared" ca="1" si="7"/>
        <v>1264.6251434119679</v>
      </c>
      <c r="Y43" s="700">
        <f t="shared" ca="1" si="7"/>
        <v>1420.1560769450159</v>
      </c>
      <c r="Z43" s="700">
        <f t="shared" ca="1" si="7"/>
        <v>1457.2274363071283</v>
      </c>
    </row>
    <row r="44" spans="1:26" x14ac:dyDescent="0.2">
      <c r="A44" t="s">
        <v>488</v>
      </c>
      <c r="B44" s="696">
        <f t="shared" si="8"/>
        <v>4</v>
      </c>
      <c r="C44" s="700">
        <f t="shared" ref="C44:C54" ca="1" si="11">OFFSET(S$129,($B44-1)*12,0)</f>
        <v>377.07976306781666</v>
      </c>
      <c r="D44" s="700">
        <f t="shared" ca="1" si="6"/>
        <v>420.18054361258197</v>
      </c>
      <c r="E44" s="700">
        <f t="shared" ca="1" si="6"/>
        <v>479.70405737925381</v>
      </c>
      <c r="F44" s="700">
        <f t="shared" ca="1" si="6"/>
        <v>566.15214795177519</v>
      </c>
      <c r="G44" s="700">
        <f t="shared" ca="1" si="6"/>
        <v>639.53084454011184</v>
      </c>
      <c r="H44" s="700">
        <f t="shared" ca="1" si="6"/>
        <v>727.68894485925205</v>
      </c>
      <c r="I44" s="700">
        <f t="shared" ca="1" si="6"/>
        <v>774.36280351395283</v>
      </c>
      <c r="J44" s="700">
        <f t="shared" ca="1" si="6"/>
        <v>828.92850594429024</v>
      </c>
      <c r="K44" s="700">
        <f t="shared" ca="1" si="6"/>
        <v>959.23893081063022</v>
      </c>
      <c r="L44" s="700">
        <f t="shared" ca="1" si="6"/>
        <v>1113.2743808126679</v>
      </c>
      <c r="M44" s="700">
        <f t="shared" ca="1" si="6"/>
        <v>1149.9892851888746</v>
      </c>
      <c r="N44" t="s">
        <v>488</v>
      </c>
      <c r="O44" s="696">
        <f t="shared" si="9"/>
        <v>4</v>
      </c>
      <c r="P44" s="700">
        <f t="shared" ca="1" si="10"/>
        <v>663.96786442584141</v>
      </c>
      <c r="Q44" s="700">
        <f t="shared" ca="1" si="7"/>
        <v>707.48709754773256</v>
      </c>
      <c r="R44" s="700">
        <f t="shared" ca="1" si="7"/>
        <v>767.58850640688502</v>
      </c>
      <c r="S44" s="700">
        <f t="shared" ca="1" si="7"/>
        <v>854.87589501202024</v>
      </c>
      <c r="T44" s="700">
        <f t="shared" ca="1" si="7"/>
        <v>928.96700381928417</v>
      </c>
      <c r="U44" s="700">
        <f t="shared" ca="1" si="7"/>
        <v>1017.9810049866011</v>
      </c>
      <c r="V44" s="700">
        <f t="shared" ca="1" si="7"/>
        <v>1065.1080053088399</v>
      </c>
      <c r="W44" s="700">
        <f t="shared" ca="1" si="7"/>
        <v>1120.203468585815</v>
      </c>
      <c r="X44" s="700">
        <f t="shared" ca="1" si="7"/>
        <v>1251.7790382844485</v>
      </c>
      <c r="Y44" s="700">
        <f t="shared" ca="1" si="7"/>
        <v>1407.309971549126</v>
      </c>
      <c r="Z44" s="700">
        <f t="shared" ca="1" si="7"/>
        <v>1444.3813304476896</v>
      </c>
    </row>
    <row r="45" spans="1:26" x14ac:dyDescent="0.2">
      <c r="A45" t="s">
        <v>489</v>
      </c>
      <c r="B45" s="696">
        <f t="shared" si="8"/>
        <v>5</v>
      </c>
      <c r="C45" s="700">
        <f t="shared" ca="1" si="11"/>
        <v>417.20162750073399</v>
      </c>
      <c r="D45" s="700">
        <f t="shared" ca="1" si="6"/>
        <v>460.30240766207777</v>
      </c>
      <c r="E45" s="700">
        <f t="shared" ca="1" si="6"/>
        <v>519.82592254400595</v>
      </c>
      <c r="F45" s="700">
        <f t="shared" ca="1" si="6"/>
        <v>606.27401196959727</v>
      </c>
      <c r="G45" s="700">
        <f t="shared" ca="1" si="6"/>
        <v>679.65270939145864</v>
      </c>
      <c r="H45" s="700">
        <f t="shared" ca="1" si="6"/>
        <v>767.81081064414684</v>
      </c>
      <c r="I45" s="700">
        <f t="shared" ca="1" si="6"/>
        <v>814.48466747842917</v>
      </c>
      <c r="J45" s="700">
        <f t="shared" ca="1" si="6"/>
        <v>869.05037016215806</v>
      </c>
      <c r="K45" s="700">
        <f t="shared" ca="1" si="6"/>
        <v>999.36079466174738</v>
      </c>
      <c r="L45" s="700">
        <f t="shared" ca="1" si="6"/>
        <v>1153.396243736905</v>
      </c>
      <c r="M45" s="700">
        <f t="shared" ca="1" si="6"/>
        <v>1190.1111505270001</v>
      </c>
      <c r="N45" t="s">
        <v>489</v>
      </c>
      <c r="O45" s="696">
        <f t="shared" si="9"/>
        <v>5</v>
      </c>
      <c r="P45" s="700">
        <f t="shared" ca="1" si="10"/>
        <v>704.47925939022093</v>
      </c>
      <c r="Q45" s="700">
        <f t="shared" ca="1" si="7"/>
        <v>747.99849247551595</v>
      </c>
      <c r="R45" s="700">
        <f t="shared" ca="1" si="7"/>
        <v>808.09990271769152</v>
      </c>
      <c r="S45" s="700">
        <f t="shared" ca="1" si="7"/>
        <v>895.38729068544671</v>
      </c>
      <c r="T45" s="700">
        <f t="shared" ca="1" si="7"/>
        <v>969.47839970008783</v>
      </c>
      <c r="U45" s="700">
        <f t="shared" ca="1" si="7"/>
        <v>1058.4924003794586</v>
      </c>
      <c r="V45" s="700">
        <f t="shared" ca="1" si="7"/>
        <v>1105.6193998050958</v>
      </c>
      <c r="W45" s="700">
        <f t="shared" ca="1" si="7"/>
        <v>1160.7148658328688</v>
      </c>
      <c r="X45" s="700">
        <f t="shared" ca="1" si="7"/>
        <v>1292.2904332625517</v>
      </c>
      <c r="Y45" s="700">
        <f t="shared" ca="1" si="7"/>
        <v>1447.8213666736128</v>
      </c>
      <c r="Z45" s="700">
        <f t="shared" ca="1" si="7"/>
        <v>1484.8927274629687</v>
      </c>
    </row>
    <row r="46" spans="1:26" x14ac:dyDescent="0.2">
      <c r="A46" t="s">
        <v>490</v>
      </c>
      <c r="B46" s="696">
        <f t="shared" si="8"/>
        <v>6</v>
      </c>
      <c r="C46" s="700">
        <f t="shared" ca="1" si="11"/>
        <v>353.61650415831053</v>
      </c>
      <c r="D46" s="700">
        <f t="shared" ca="1" si="6"/>
        <v>396.71728467431922</v>
      </c>
      <c r="E46" s="700">
        <f t="shared" ca="1" si="6"/>
        <v>456.2407982634503</v>
      </c>
      <c r="F46" s="700">
        <f t="shared" ca="1" si="6"/>
        <v>542.68888900934485</v>
      </c>
      <c r="G46" s="700">
        <f t="shared" ca="1" si="6"/>
        <v>616.06758603444848</v>
      </c>
      <c r="H46" s="700">
        <f t="shared" ca="1" si="6"/>
        <v>704.2256857467828</v>
      </c>
      <c r="I46" s="700">
        <f t="shared" ca="1" si="6"/>
        <v>750.89954454151552</v>
      </c>
      <c r="J46" s="700">
        <f t="shared" ca="1" si="6"/>
        <v>805.4652463850515</v>
      </c>
      <c r="K46" s="700">
        <f t="shared" ca="1" si="6"/>
        <v>935.7756716848246</v>
      </c>
      <c r="L46" s="700">
        <f t="shared" ca="1" si="6"/>
        <v>1089.811121780217</v>
      </c>
      <c r="M46" s="700">
        <f t="shared" ca="1" si="6"/>
        <v>1126.5260261830963</v>
      </c>
      <c r="N46" t="s">
        <v>490</v>
      </c>
      <c r="O46" s="696">
        <f t="shared" si="9"/>
        <v>6</v>
      </c>
      <c r="P46" s="700">
        <f t="shared" ca="1" si="10"/>
        <v>640.27680743619294</v>
      </c>
      <c r="Q46" s="700">
        <f t="shared" ca="1" si="7"/>
        <v>683.796040693794</v>
      </c>
      <c r="R46" s="700">
        <f t="shared" ca="1" si="7"/>
        <v>743.8974500271695</v>
      </c>
      <c r="S46" s="700">
        <f t="shared" ca="1" si="7"/>
        <v>831.18483841272882</v>
      </c>
      <c r="T46" s="700">
        <f t="shared" ca="1" si="7"/>
        <v>905.27594713155224</v>
      </c>
      <c r="U46" s="700">
        <f t="shared" ca="1" si="7"/>
        <v>994.28994839645861</v>
      </c>
      <c r="V46" s="700">
        <f t="shared" ca="1" si="7"/>
        <v>1041.4169482978436</v>
      </c>
      <c r="W46" s="700">
        <f t="shared" ca="1" si="7"/>
        <v>1096.5124122274469</v>
      </c>
      <c r="X46" s="700">
        <f t="shared" ca="1" si="7"/>
        <v>1228.0879815845185</v>
      </c>
      <c r="Y46" s="700">
        <f t="shared" ca="1" si="7"/>
        <v>1383.6189151541621</v>
      </c>
      <c r="Z46" s="700">
        <f t="shared" ca="1" si="7"/>
        <v>1420.6902741381164</v>
      </c>
    </row>
    <row r="47" spans="1:26" x14ac:dyDescent="0.2">
      <c r="A47" t="s">
        <v>491</v>
      </c>
      <c r="B47" s="696">
        <f t="shared" si="8"/>
        <v>7</v>
      </c>
      <c r="C47" s="700">
        <f t="shared" ca="1" si="11"/>
        <v>419.38398558328845</v>
      </c>
      <c r="D47" s="700">
        <f t="shared" ca="1" si="6"/>
        <v>462.48476620640503</v>
      </c>
      <c r="E47" s="700">
        <f t="shared" ca="1" si="6"/>
        <v>522.00828079659948</v>
      </c>
      <c r="F47" s="700">
        <f t="shared" ca="1" si="6"/>
        <v>608.45637098736643</v>
      </c>
      <c r="G47" s="700">
        <f t="shared" ca="1" si="6"/>
        <v>681.83506721562037</v>
      </c>
      <c r="H47" s="700">
        <f t="shared" ca="1" si="6"/>
        <v>769.99316838162213</v>
      </c>
      <c r="I47" s="700">
        <f t="shared" ca="1" si="6"/>
        <v>816.66702629615247</v>
      </c>
      <c r="J47" s="700">
        <f t="shared" ca="1" si="6"/>
        <v>871.2327287798355</v>
      </c>
      <c r="K47" s="700">
        <f t="shared" ca="1" si="6"/>
        <v>1001.5431535394843</v>
      </c>
      <c r="L47" s="700">
        <f t="shared" ca="1" si="6"/>
        <v>1155.5786033614806</v>
      </c>
      <c r="M47" s="700">
        <f t="shared" ca="1" si="6"/>
        <v>1192.2935080577608</v>
      </c>
      <c r="N47" t="s">
        <v>491</v>
      </c>
      <c r="O47" s="696">
        <f t="shared" si="9"/>
        <v>7</v>
      </c>
      <c r="P47" s="700">
        <f t="shared" ca="1" si="10"/>
        <v>706.68280581750162</v>
      </c>
      <c r="Q47" s="700">
        <f t="shared" ca="1" si="7"/>
        <v>750.20203857648255</v>
      </c>
      <c r="R47" s="700">
        <f t="shared" ca="1" si="7"/>
        <v>810.30344877596292</v>
      </c>
      <c r="S47" s="700">
        <f t="shared" ca="1" si="7"/>
        <v>897.59083710052892</v>
      </c>
      <c r="T47" s="700">
        <f t="shared" ca="1" si="7"/>
        <v>971.68194553573358</v>
      </c>
      <c r="U47" s="700">
        <f t="shared" ca="1" si="7"/>
        <v>1060.6959472153944</v>
      </c>
      <c r="V47" s="700">
        <f t="shared" ca="1" si="7"/>
        <v>1107.8229463238663</v>
      </c>
      <c r="W47" s="700">
        <f t="shared" ca="1" si="7"/>
        <v>1162.9184115099317</v>
      </c>
      <c r="X47" s="700">
        <f t="shared" ca="1" si="7"/>
        <v>1294.4939795800444</v>
      </c>
      <c r="Y47" s="700">
        <f t="shared" ca="1" si="7"/>
        <v>1450.0249130642978</v>
      </c>
      <c r="Z47" s="700">
        <f t="shared" ca="1" si="7"/>
        <v>1487.0962743172024</v>
      </c>
    </row>
    <row r="48" spans="1:26" x14ac:dyDescent="0.2">
      <c r="A48" t="s">
        <v>492</v>
      </c>
      <c r="B48" s="696">
        <f t="shared" si="8"/>
        <v>8</v>
      </c>
      <c r="C48" s="700">
        <f t="shared" ca="1" si="11"/>
        <v>397.70476160362881</v>
      </c>
      <c r="D48" s="700">
        <f t="shared" ca="1" si="6"/>
        <v>440.80554199085782</v>
      </c>
      <c r="E48" s="700">
        <f t="shared" ca="1" si="6"/>
        <v>500.32905599758499</v>
      </c>
      <c r="F48" s="700">
        <f t="shared" ca="1" si="6"/>
        <v>586.77714594996382</v>
      </c>
      <c r="G48" s="700">
        <f t="shared" ca="1" si="6"/>
        <v>660.15584357853959</v>
      </c>
      <c r="H48" s="700">
        <f t="shared" ca="1" si="6"/>
        <v>748.31394342423778</v>
      </c>
      <c r="I48" s="700">
        <f t="shared" ca="1" si="6"/>
        <v>794.98780172552381</v>
      </c>
      <c r="J48" s="700">
        <f t="shared" ca="1" si="6"/>
        <v>849.55350456928954</v>
      </c>
      <c r="K48" s="700">
        <f t="shared" ca="1" si="6"/>
        <v>979.86392926892472</v>
      </c>
      <c r="L48" s="700">
        <f t="shared" ca="1" si="6"/>
        <v>1133.8993790842528</v>
      </c>
      <c r="M48" s="700">
        <f t="shared" ca="1" si="6"/>
        <v>1170.6142847140807</v>
      </c>
      <c r="N48" t="s">
        <v>492</v>
      </c>
      <c r="O48" s="696">
        <f t="shared" si="9"/>
        <v>8</v>
      </c>
      <c r="P48" s="700">
        <f t="shared" ca="1" si="10"/>
        <v>684.79310448141393</v>
      </c>
      <c r="Q48" s="700">
        <f t="shared" ca="1" si="7"/>
        <v>728.31233739135325</v>
      </c>
      <c r="R48" s="700">
        <f t="shared" ca="1" si="7"/>
        <v>788.41374709983768</v>
      </c>
      <c r="S48" s="700">
        <f t="shared" ca="1" si="7"/>
        <v>875.70113527192029</v>
      </c>
      <c r="T48" s="700">
        <f t="shared" ca="1" si="7"/>
        <v>949.79224405783657</v>
      </c>
      <c r="U48" s="700">
        <f t="shared" ca="1" si="7"/>
        <v>1038.8062453898356</v>
      </c>
      <c r="V48" s="700">
        <f t="shared" ca="1" si="7"/>
        <v>1085.9332449252606</v>
      </c>
      <c r="W48" s="700">
        <f t="shared" ca="1" si="7"/>
        <v>1141.0287095501876</v>
      </c>
      <c r="X48" s="700">
        <f t="shared" ca="1" si="7"/>
        <v>1272.6042783156238</v>
      </c>
      <c r="Y48" s="700">
        <f t="shared" ca="1" si="7"/>
        <v>1428.1352116900894</v>
      </c>
      <c r="Z48" s="700">
        <f t="shared" ca="1" si="7"/>
        <v>1465.2065713083739</v>
      </c>
    </row>
    <row r="49" spans="1:26" x14ac:dyDescent="0.2">
      <c r="A49" t="s">
        <v>493</v>
      </c>
      <c r="B49" s="696">
        <f t="shared" si="8"/>
        <v>9</v>
      </c>
      <c r="C49" s="700">
        <f t="shared" ca="1" si="11"/>
        <v>347.62805224419395</v>
      </c>
      <c r="D49" s="700">
        <f t="shared" ca="1" si="6"/>
        <v>390.72883289315001</v>
      </c>
      <c r="E49" s="700">
        <f t="shared" ca="1" si="6"/>
        <v>450.25234673900673</v>
      </c>
      <c r="F49" s="700">
        <f t="shared" ca="1" si="6"/>
        <v>536.70043704146599</v>
      </c>
      <c r="G49" s="700">
        <f t="shared" ca="1" si="6"/>
        <v>610.07913431329303</v>
      </c>
      <c r="H49" s="700">
        <f t="shared" ca="1" si="6"/>
        <v>698.23723443905556</v>
      </c>
      <c r="I49" s="700">
        <f t="shared" ca="1" si="6"/>
        <v>744.91109306708336</v>
      </c>
      <c r="J49" s="700">
        <f t="shared" ca="1" si="6"/>
        <v>799.47679469056868</v>
      </c>
      <c r="K49" s="700">
        <f t="shared" ca="1" si="6"/>
        <v>929.78721875005692</v>
      </c>
      <c r="L49" s="700">
        <f t="shared" ca="1" si="6"/>
        <v>1083.8226685587165</v>
      </c>
      <c r="M49" s="700">
        <f t="shared" ca="1" si="6"/>
        <v>1120.5375759156082</v>
      </c>
      <c r="N49" t="s">
        <v>493</v>
      </c>
      <c r="O49" s="696">
        <f t="shared" si="9"/>
        <v>9</v>
      </c>
      <c r="P49" s="700">
        <f t="shared" ca="1" si="10"/>
        <v>634.23021581159526</v>
      </c>
      <c r="Q49" s="700">
        <f t="shared" ca="1" si="7"/>
        <v>677.74944841809292</v>
      </c>
      <c r="R49" s="700">
        <f t="shared" ca="1" si="7"/>
        <v>737.85085854743113</v>
      </c>
      <c r="S49" s="700">
        <f t="shared" ca="1" si="7"/>
        <v>825.13824703667888</v>
      </c>
      <c r="T49" s="700">
        <f t="shared" ca="1" si="7"/>
        <v>899.22935631054156</v>
      </c>
      <c r="U49" s="700">
        <f t="shared" ca="1" si="7"/>
        <v>988.24335629458847</v>
      </c>
      <c r="V49" s="700">
        <f t="shared" ca="1" si="7"/>
        <v>1035.3703568059066</v>
      </c>
      <c r="W49" s="700">
        <f t="shared" ca="1" si="7"/>
        <v>1090.4658215101249</v>
      </c>
      <c r="X49" s="700">
        <f t="shared" ca="1" si="7"/>
        <v>1222.0413903365545</v>
      </c>
      <c r="Y49" s="700">
        <f t="shared" ca="1" si="7"/>
        <v>1377.5723236134304</v>
      </c>
      <c r="Z49" s="700">
        <f t="shared" ca="1" si="7"/>
        <v>1414.643682841358</v>
      </c>
    </row>
    <row r="50" spans="1:26" x14ac:dyDescent="0.2">
      <c r="A50" t="s">
        <v>494</v>
      </c>
      <c r="B50" s="696">
        <f t="shared" si="8"/>
        <v>10</v>
      </c>
      <c r="C50" s="700">
        <f t="shared" ca="1" si="11"/>
        <v>324.27247638661839</v>
      </c>
      <c r="D50" s="700">
        <f t="shared" ca="1" si="6"/>
        <v>367.37325643168555</v>
      </c>
      <c r="E50" s="700">
        <f t="shared" ca="1" si="6"/>
        <v>426.89677109439668</v>
      </c>
      <c r="F50" s="700">
        <f t="shared" ca="1" si="6"/>
        <v>513.34486074837355</v>
      </c>
      <c r="G50" s="700">
        <f t="shared" ca="1" si="6"/>
        <v>586.72355786016385</v>
      </c>
      <c r="H50" s="700">
        <f t="shared" ca="1" si="6"/>
        <v>674.88165904283608</v>
      </c>
      <c r="I50" s="700">
        <f t="shared" ca="1" si="6"/>
        <v>721.55551605049152</v>
      </c>
      <c r="J50" s="700">
        <f t="shared" ca="1" si="6"/>
        <v>776.12121968110478</v>
      </c>
      <c r="K50" s="700">
        <f t="shared" ca="1" si="6"/>
        <v>906.43164303376363</v>
      </c>
      <c r="L50" s="700">
        <f t="shared" ca="1" si="6"/>
        <v>1060.4670921689353</v>
      </c>
      <c r="M50" s="700">
        <f t="shared" ca="1" si="6"/>
        <v>1097.1819990457166</v>
      </c>
      <c r="N50" t="s">
        <v>494</v>
      </c>
      <c r="O50" s="696">
        <f t="shared" si="9"/>
        <v>10</v>
      </c>
      <c r="P50" s="700">
        <f t="shared" ca="1" si="10"/>
        <v>610.64788738165271</v>
      </c>
      <c r="Q50" s="700">
        <f t="shared" ca="1" si="7"/>
        <v>654.16712089542568</v>
      </c>
      <c r="R50" s="700">
        <f t="shared" ca="1" si="7"/>
        <v>714.26853036756097</v>
      </c>
      <c r="S50" s="700">
        <f t="shared" ca="1" si="7"/>
        <v>801.55591835971336</v>
      </c>
      <c r="T50" s="700">
        <f t="shared" ca="1" si="7"/>
        <v>875.64702792634375</v>
      </c>
      <c r="U50" s="700">
        <f t="shared" ca="1" si="7"/>
        <v>964.66102822145683</v>
      </c>
      <c r="V50" s="700">
        <f t="shared" ca="1" si="7"/>
        <v>1011.7880276470939</v>
      </c>
      <c r="W50" s="700">
        <f t="shared" ca="1" si="7"/>
        <v>1066.8834924611001</v>
      </c>
      <c r="X50" s="700">
        <f t="shared" ca="1" si="7"/>
        <v>1198.4590607324906</v>
      </c>
      <c r="Y50" s="700">
        <f t="shared" ca="1" si="7"/>
        <v>1353.9899939727709</v>
      </c>
      <c r="Z50" s="700">
        <f t="shared" ca="1" si="7"/>
        <v>1391.0613545913454</v>
      </c>
    </row>
    <row r="51" spans="1:26" x14ac:dyDescent="0.2">
      <c r="A51" t="s">
        <v>495</v>
      </c>
      <c r="B51" s="696">
        <f t="shared" si="8"/>
        <v>11</v>
      </c>
      <c r="C51" s="700">
        <f t="shared" ca="1" si="11"/>
        <v>377.01399701074945</v>
      </c>
      <c r="D51" s="700">
        <f t="shared" ca="1" si="6"/>
        <v>420.11477772888793</v>
      </c>
      <c r="E51" s="700">
        <f t="shared" ca="1" si="6"/>
        <v>479.63829236409282</v>
      </c>
      <c r="F51" s="700">
        <f t="shared" ca="1" si="6"/>
        <v>566.08638215310066</v>
      </c>
      <c r="G51" s="700">
        <f t="shared" ca="1" si="6"/>
        <v>639.465078931481</v>
      </c>
      <c r="H51" s="700">
        <f t="shared" ca="1" si="6"/>
        <v>727.62318008414627</v>
      </c>
      <c r="I51" s="700">
        <f t="shared" ca="1" si="6"/>
        <v>774.29703751189822</v>
      </c>
      <c r="J51" s="700">
        <f t="shared" ca="1" si="6"/>
        <v>828.8627403956732</v>
      </c>
      <c r="K51" s="700">
        <f t="shared" ca="1" si="6"/>
        <v>959.1731648419169</v>
      </c>
      <c r="L51" s="700">
        <f t="shared" ca="1" si="6"/>
        <v>1113.2086152707193</v>
      </c>
      <c r="M51" s="700">
        <f t="shared" ca="1" si="6"/>
        <v>1149.9235210072384</v>
      </c>
      <c r="N51" t="s">
        <v>495</v>
      </c>
      <c r="O51" s="696">
        <f t="shared" si="9"/>
        <v>11</v>
      </c>
      <c r="P51" s="700">
        <f t="shared" ca="1" si="10"/>
        <v>663.90145979865815</v>
      </c>
      <c r="Q51" s="700">
        <f t="shared" ca="1" si="7"/>
        <v>707.42069266132773</v>
      </c>
      <c r="R51" s="700">
        <f t="shared" ca="1" si="7"/>
        <v>767.52210298279476</v>
      </c>
      <c r="S51" s="700">
        <f t="shared" ca="1" si="7"/>
        <v>854.80949233814727</v>
      </c>
      <c r="T51" s="700">
        <f t="shared" ca="1" si="7"/>
        <v>928.90059988894916</v>
      </c>
      <c r="U51" s="700">
        <f t="shared" ca="1" si="7"/>
        <v>1017.9146003670421</v>
      </c>
      <c r="V51" s="700">
        <f t="shared" ca="1" si="7"/>
        <v>1065.0416007441745</v>
      </c>
      <c r="W51" s="700">
        <f t="shared" ca="1" si="7"/>
        <v>1120.1370657106643</v>
      </c>
      <c r="X51" s="700">
        <f t="shared" ca="1" si="7"/>
        <v>1251.7126337929756</v>
      </c>
      <c r="Y51" s="700">
        <f t="shared" ca="1" si="7"/>
        <v>1407.2435675943939</v>
      </c>
      <c r="Z51" s="700">
        <f t="shared" ca="1" si="7"/>
        <v>1444.3149275908368</v>
      </c>
    </row>
    <row r="52" spans="1:26" x14ac:dyDescent="0.2">
      <c r="A52" t="s">
        <v>496</v>
      </c>
      <c r="B52" s="696">
        <f t="shared" si="8"/>
        <v>12</v>
      </c>
      <c r="C52" s="700">
        <f t="shared" ca="1" si="11"/>
        <v>398.76262728996795</v>
      </c>
      <c r="D52" s="700">
        <f t="shared" ca="1" si="6"/>
        <v>441.86340810812942</v>
      </c>
      <c r="E52" s="700">
        <f t="shared" ca="1" si="6"/>
        <v>501.38692228489555</v>
      </c>
      <c r="F52" s="700">
        <f t="shared" ca="1" si="6"/>
        <v>587.8350122656143</v>
      </c>
      <c r="G52" s="700">
        <f t="shared" ca="1" si="6"/>
        <v>661.21370940407735</v>
      </c>
      <c r="H52" s="700">
        <f t="shared" ca="1" si="6"/>
        <v>749.371810199994</v>
      </c>
      <c r="I52" s="700">
        <f t="shared" ca="1" si="6"/>
        <v>796.04566766108678</v>
      </c>
      <c r="J52" s="700">
        <f t="shared" ca="1" si="6"/>
        <v>850.61137019144724</v>
      </c>
      <c r="K52" s="700">
        <f t="shared" ca="1" si="6"/>
        <v>980.92179437096297</v>
      </c>
      <c r="L52" s="700">
        <f t="shared" ca="1" si="6"/>
        <v>1134.9572445130325</v>
      </c>
      <c r="M52" s="700">
        <f t="shared" ca="1" si="6"/>
        <v>1171.6721509163719</v>
      </c>
      <c r="N52" t="s">
        <v>496</v>
      </c>
      <c r="O52" s="696">
        <f t="shared" si="9"/>
        <v>12</v>
      </c>
      <c r="P52" s="700">
        <f t="shared" ca="1" si="10"/>
        <v>685.86124137677427</v>
      </c>
      <c r="Q52" s="700">
        <f t="shared" ca="1" si="7"/>
        <v>729.38047405951352</v>
      </c>
      <c r="R52" s="700">
        <f t="shared" ca="1" si="7"/>
        <v>789.4818839143818</v>
      </c>
      <c r="S52" s="700">
        <f t="shared" ca="1" si="7"/>
        <v>876.76927165036238</v>
      </c>
      <c r="T52" s="700">
        <f t="shared" ca="1" si="7"/>
        <v>950.86038050337129</v>
      </c>
      <c r="U52" s="700">
        <f t="shared" ca="1" si="7"/>
        <v>1039.8743821220387</v>
      </c>
      <c r="V52" s="700">
        <f t="shared" ca="1" si="7"/>
        <v>1087.0013816208677</v>
      </c>
      <c r="W52" s="700">
        <f t="shared" ca="1" si="7"/>
        <v>1142.0968462701924</v>
      </c>
      <c r="X52" s="700">
        <f t="shared" ca="1" si="7"/>
        <v>1273.6724151759133</v>
      </c>
      <c r="Y52" s="700">
        <f t="shared" ca="1" si="7"/>
        <v>1429.2033488065504</v>
      </c>
      <c r="Z52" s="700">
        <f t="shared" ca="1" si="7"/>
        <v>1466.274707802703</v>
      </c>
    </row>
    <row r="53" spans="1:26" x14ac:dyDescent="0.2">
      <c r="A53" t="s">
        <v>497</v>
      </c>
      <c r="B53" s="696">
        <f t="shared" si="8"/>
        <v>13</v>
      </c>
      <c r="C53" s="700">
        <f t="shared" ca="1" si="11"/>
        <v>392.20716523448539</v>
      </c>
      <c r="D53" s="700">
        <f t="shared" ca="1" si="6"/>
        <v>435.30794597596253</v>
      </c>
      <c r="E53" s="700">
        <f t="shared" ca="1" si="6"/>
        <v>494.83146009271485</v>
      </c>
      <c r="F53" s="700">
        <f t="shared" ca="1" si="6"/>
        <v>581.27954957498559</v>
      </c>
      <c r="G53" s="700">
        <f t="shared" ca="1" si="6"/>
        <v>654.65824767366939</v>
      </c>
      <c r="H53" s="700">
        <f t="shared" ca="1" si="6"/>
        <v>742.8163480061462</v>
      </c>
      <c r="I53" s="700">
        <f t="shared" ca="1" si="6"/>
        <v>789.49020583399022</v>
      </c>
      <c r="J53" s="700">
        <f t="shared" ca="1" si="6"/>
        <v>844.05590833767769</v>
      </c>
      <c r="K53" s="700">
        <f t="shared" ca="1" si="6"/>
        <v>974.36633301730819</v>
      </c>
      <c r="L53" s="700">
        <f t="shared" ca="1" si="6"/>
        <v>1128.4017827659541</v>
      </c>
      <c r="M53" s="700">
        <f t="shared" ca="1" si="6"/>
        <v>1165.1166887558652</v>
      </c>
      <c r="N53" t="s">
        <v>497</v>
      </c>
      <c r="O53" s="696">
        <f t="shared" si="9"/>
        <v>13</v>
      </c>
      <c r="P53" s="700">
        <f t="shared" ca="1" si="10"/>
        <v>679.24213394373191</v>
      </c>
      <c r="Q53" s="700">
        <f t="shared" ca="1" si="7"/>
        <v>722.76136734619229</v>
      </c>
      <c r="R53" s="700">
        <f t="shared" ca="1" si="7"/>
        <v>782.86277627396237</v>
      </c>
      <c r="S53" s="700">
        <f t="shared" ca="1" si="7"/>
        <v>870.15016494314034</v>
      </c>
      <c r="T53" s="700">
        <f t="shared" ca="1" si="7"/>
        <v>944.24127364366586</v>
      </c>
      <c r="U53" s="700">
        <f t="shared" ca="1" si="7"/>
        <v>1033.2552749268702</v>
      </c>
      <c r="V53" s="700">
        <f t="shared" ca="1" si="7"/>
        <v>1080.3822742122229</v>
      </c>
      <c r="W53" s="700">
        <f t="shared" ca="1" si="7"/>
        <v>1135.477738782256</v>
      </c>
      <c r="X53" s="700">
        <f t="shared" ca="1" si="7"/>
        <v>1267.053307596487</v>
      </c>
      <c r="Y53" s="700">
        <f t="shared" ca="1" si="7"/>
        <v>1422.5842416174812</v>
      </c>
      <c r="Z53" s="700">
        <f t="shared" ca="1" si="7"/>
        <v>1459.6556005282434</v>
      </c>
    </row>
    <row r="54" spans="1:26" x14ac:dyDescent="0.2">
      <c r="A54" t="s">
        <v>498</v>
      </c>
      <c r="B54" s="696">
        <f t="shared" si="8"/>
        <v>14</v>
      </c>
      <c r="C54" s="700">
        <f t="shared" ca="1" si="11"/>
        <v>406.63323312936467</v>
      </c>
      <c r="D54" s="700">
        <f t="shared" ca="1" si="6"/>
        <v>449.7340136874663</v>
      </c>
      <c r="E54" s="700">
        <f t="shared" ca="1" si="6"/>
        <v>509.25752820597762</v>
      </c>
      <c r="F54" s="700">
        <f t="shared" ca="1" si="6"/>
        <v>595.70561805666648</v>
      </c>
      <c r="G54" s="700">
        <f t="shared" ca="1" si="6"/>
        <v>669.08431501842233</v>
      </c>
      <c r="H54" s="700">
        <f t="shared" ca="1" si="6"/>
        <v>757.24241608106684</v>
      </c>
      <c r="I54" s="700">
        <f t="shared" ca="1" si="6"/>
        <v>803.91627340212767</v>
      </c>
      <c r="J54" s="700">
        <f t="shared" ca="1" si="6"/>
        <v>858.48197655929869</v>
      </c>
      <c r="K54" s="700">
        <f t="shared" ca="1" si="6"/>
        <v>988.79240095219689</v>
      </c>
      <c r="L54" s="700">
        <f t="shared" ca="1" si="6"/>
        <v>1142.8278510875982</v>
      </c>
      <c r="M54" s="700">
        <f t="shared" ca="1" si="6"/>
        <v>1179.5427570241636</v>
      </c>
      <c r="N54" t="s">
        <v>498</v>
      </c>
      <c r="O54" s="696">
        <f t="shared" si="9"/>
        <v>14</v>
      </c>
      <c r="P54" s="700">
        <f t="shared" ca="1" si="10"/>
        <v>693.80826000515322</v>
      </c>
      <c r="Q54" s="700">
        <f t="shared" ca="1" si="7"/>
        <v>737.32749264214749</v>
      </c>
      <c r="R54" s="700">
        <f t="shared" ca="1" si="7"/>
        <v>797.42890282637961</v>
      </c>
      <c r="S54" s="700">
        <f t="shared" ca="1" si="7"/>
        <v>884.7162919713054</v>
      </c>
      <c r="T54" s="700">
        <f t="shared" ca="1" si="7"/>
        <v>958.80740020218252</v>
      </c>
      <c r="U54" s="700">
        <f t="shared" ca="1" si="7"/>
        <v>1047.8214007595664</v>
      </c>
      <c r="V54" s="700">
        <f t="shared" ca="1" si="7"/>
        <v>1094.9484009354214</v>
      </c>
      <c r="W54" s="700">
        <f t="shared" ca="1" si="7"/>
        <v>1150.0438658958115</v>
      </c>
      <c r="X54" s="700">
        <f t="shared" ca="1" si="7"/>
        <v>1281.6194339110302</v>
      </c>
      <c r="Y54" s="700">
        <f t="shared" ca="1" si="7"/>
        <v>1437.1503676392567</v>
      </c>
      <c r="Z54" s="700">
        <f t="shared" ca="1" si="7"/>
        <v>1474.2217274161237</v>
      </c>
    </row>
    <row r="56" spans="1:26" x14ac:dyDescent="0.2">
      <c r="B56" t="s">
        <v>484</v>
      </c>
      <c r="C56" t="s">
        <v>82</v>
      </c>
      <c r="G56" s="697"/>
      <c r="O56" t="s">
        <v>484</v>
      </c>
      <c r="P56" t="s">
        <v>82</v>
      </c>
      <c r="T56" s="697"/>
    </row>
    <row r="57" spans="1:26" x14ac:dyDescent="0.2">
      <c r="B57">
        <v>1</v>
      </c>
      <c r="C57">
        <v>1</v>
      </c>
      <c r="O57">
        <v>2</v>
      </c>
      <c r="P57">
        <v>1</v>
      </c>
    </row>
    <row r="58" spans="1:26" x14ac:dyDescent="0.2">
      <c r="A58" s="699"/>
      <c r="B58">
        <v>0</v>
      </c>
      <c r="C58" s="697">
        <f>S$122</f>
        <v>68000</v>
      </c>
      <c r="D58" s="697">
        <f t="shared" ref="D58:M58" si="12">T$122</f>
        <v>82000</v>
      </c>
      <c r="E58" s="697">
        <f t="shared" si="12"/>
        <v>109000</v>
      </c>
      <c r="F58" s="697">
        <f t="shared" si="12"/>
        <v>136000</v>
      </c>
      <c r="G58" s="697">
        <f t="shared" si="12"/>
        <v>163000</v>
      </c>
      <c r="H58" s="697">
        <f t="shared" si="12"/>
        <v>191000</v>
      </c>
      <c r="I58" s="697">
        <f t="shared" si="12"/>
        <v>218000</v>
      </c>
      <c r="J58" s="697">
        <f t="shared" si="12"/>
        <v>272000</v>
      </c>
      <c r="K58" s="697">
        <f t="shared" si="12"/>
        <v>341000</v>
      </c>
      <c r="L58" s="697">
        <f t="shared" si="12"/>
        <v>409000</v>
      </c>
      <c r="M58" s="697">
        <f t="shared" si="12"/>
        <v>681000</v>
      </c>
      <c r="N58" s="699"/>
      <c r="O58">
        <v>0</v>
      </c>
      <c r="P58" s="697">
        <f>S$122</f>
        <v>68000</v>
      </c>
      <c r="Q58" s="697">
        <f t="shared" ref="Q58:Z58" si="13">T$122</f>
        <v>82000</v>
      </c>
      <c r="R58" s="697">
        <f t="shared" si="13"/>
        <v>109000</v>
      </c>
      <c r="S58" s="697">
        <f t="shared" si="13"/>
        <v>136000</v>
      </c>
      <c r="T58" s="697">
        <f t="shared" si="13"/>
        <v>163000</v>
      </c>
      <c r="U58" s="697">
        <f t="shared" si="13"/>
        <v>191000</v>
      </c>
      <c r="V58" s="697">
        <f t="shared" si="13"/>
        <v>218000</v>
      </c>
      <c r="W58" s="697">
        <f t="shared" si="13"/>
        <v>272000</v>
      </c>
      <c r="X58" s="697">
        <f t="shared" si="13"/>
        <v>341000</v>
      </c>
      <c r="Y58" s="697">
        <f t="shared" si="13"/>
        <v>409000</v>
      </c>
      <c r="Z58" s="697">
        <f t="shared" si="13"/>
        <v>681000</v>
      </c>
    </row>
    <row r="59" spans="1:26" x14ac:dyDescent="0.2">
      <c r="A59" t="s">
        <v>485</v>
      </c>
      <c r="B59" s="696">
        <f>B58+1</f>
        <v>1</v>
      </c>
      <c r="C59" s="700">
        <f ca="1">OFFSET(S$130,($B59-1)*12,0)</f>
        <v>478.21633880241353</v>
      </c>
      <c r="D59" s="700">
        <f t="shared" ref="D59:M72" ca="1" si="14">OFFSET(T$130,($B59-1)*12,0)</f>
        <v>521.04878341082781</v>
      </c>
      <c r="E59" s="700">
        <f t="shared" ca="1" si="14"/>
        <v>580.20171607757629</v>
      </c>
      <c r="F59" s="700">
        <f t="shared" ca="1" si="14"/>
        <v>666.11160318276359</v>
      </c>
      <c r="G59" s="700">
        <f t="shared" ca="1" si="14"/>
        <v>739.0334601485381</v>
      </c>
      <c r="H59" s="700">
        <f t="shared" ca="1" si="14"/>
        <v>826.64271220924047</v>
      </c>
      <c r="I59" s="700">
        <f t="shared" ca="1" si="14"/>
        <v>873.02598818708168</v>
      </c>
      <c r="J59" s="700">
        <f t="shared" ca="1" si="14"/>
        <v>927.25197656798889</v>
      </c>
      <c r="K59" s="700">
        <f t="shared" ca="1" si="14"/>
        <v>1056.7511201164898</v>
      </c>
      <c r="L59" s="700">
        <f t="shared" ca="1" si="14"/>
        <v>1209.8275845073151</v>
      </c>
      <c r="M59" s="700">
        <f t="shared" ca="1" si="14"/>
        <v>1246.3139104375582</v>
      </c>
      <c r="N59" t="s">
        <v>485</v>
      </c>
      <c r="O59" s="696">
        <f>O58+1</f>
        <v>1</v>
      </c>
      <c r="P59" s="700">
        <f ca="1">OFFSET(S$125,($B59-1)*12,0)</f>
        <v>759.71244278743734</v>
      </c>
      <c r="Q59" s="700">
        <f t="shared" ref="Q59:Z72" ca="1" si="15">OFFSET(T$125,($B59-1)*12,0)</f>
        <v>803.19037835163249</v>
      </c>
      <c r="R59" s="700">
        <f t="shared" ca="1" si="15"/>
        <v>863.23475688347708</v>
      </c>
      <c r="S59" s="700">
        <f t="shared" ca="1" si="15"/>
        <v>950.43931371632641</v>
      </c>
      <c r="T59" s="700">
        <f t="shared" ca="1" si="15"/>
        <v>1024.4601142653664</v>
      </c>
      <c r="U59" s="700">
        <f t="shared" ca="1" si="15"/>
        <v>1113.3896443510082</v>
      </c>
      <c r="V59" s="700">
        <f t="shared" ca="1" si="15"/>
        <v>1160.4719261882794</v>
      </c>
      <c r="W59" s="700">
        <f t="shared" ca="1" si="15"/>
        <v>1215.5151076874852</v>
      </c>
      <c r="X59" s="700">
        <f t="shared" ca="1" si="15"/>
        <v>1346.965817762592</v>
      </c>
      <c r="Y59" s="700">
        <f t="shared" ca="1" si="15"/>
        <v>1502.3491617638679</v>
      </c>
      <c r="Z59" s="700">
        <f t="shared" ca="1" si="15"/>
        <v>1539.3853430981133</v>
      </c>
    </row>
    <row r="60" spans="1:26" x14ac:dyDescent="0.2">
      <c r="A60" t="s">
        <v>486</v>
      </c>
      <c r="B60" s="696">
        <f t="shared" ref="B60:B72" si="16">B59+1</f>
        <v>2</v>
      </c>
      <c r="C60" s="700">
        <f t="shared" ref="C60:C72" ca="1" si="17">OFFSET(S$130,($B60-1)*12,0)</f>
        <v>469.0623023627835</v>
      </c>
      <c r="D60" s="700">
        <f t="shared" ca="1" si="14"/>
        <v>511.89474740360362</v>
      </c>
      <c r="E60" s="700">
        <f t="shared" ca="1" si="14"/>
        <v>571.04768136756923</v>
      </c>
      <c r="F60" s="700">
        <f t="shared" ca="1" si="14"/>
        <v>656.957566625205</v>
      </c>
      <c r="G60" s="700">
        <f t="shared" ca="1" si="14"/>
        <v>729.87942567438847</v>
      </c>
      <c r="H60" s="700">
        <f t="shared" ca="1" si="14"/>
        <v>817.48867557306255</v>
      </c>
      <c r="I60" s="700">
        <f t="shared" ca="1" si="14"/>
        <v>863.87195430257634</v>
      </c>
      <c r="J60" s="700">
        <f t="shared" ca="1" si="14"/>
        <v>918.09794386277201</v>
      </c>
      <c r="K60" s="700">
        <f t="shared" ca="1" si="14"/>
        <v>1047.5970849740772</v>
      </c>
      <c r="L60" s="700">
        <f t="shared" ca="1" si="14"/>
        <v>1200.6735477138989</v>
      </c>
      <c r="M60" s="700">
        <f t="shared" ca="1" si="14"/>
        <v>1237.1598764744333</v>
      </c>
      <c r="N60" t="s">
        <v>486</v>
      </c>
      <c r="O60" s="696">
        <f t="shared" ref="O60:O72" si="18">O59+1</f>
        <v>2</v>
      </c>
      <c r="P60" s="700">
        <f t="shared" ref="P60:P72" ca="1" si="19">OFFSET(S$125,($B60-1)*12,0)</f>
        <v>751.17716264232752</v>
      </c>
      <c r="Q60" s="700">
        <f t="shared" ca="1" si="15"/>
        <v>794.65509750445267</v>
      </c>
      <c r="R60" s="700">
        <f t="shared" ca="1" si="15"/>
        <v>854.69947507095083</v>
      </c>
      <c r="S60" s="700">
        <f t="shared" ca="1" si="15"/>
        <v>941.9040312894889</v>
      </c>
      <c r="T60" s="700">
        <f t="shared" ca="1" si="15"/>
        <v>1015.9248324235871</v>
      </c>
      <c r="U60" s="700">
        <f t="shared" ca="1" si="15"/>
        <v>1104.8543630065287</v>
      </c>
      <c r="V60" s="700">
        <f t="shared" ca="1" si="15"/>
        <v>1151.9366432348895</v>
      </c>
      <c r="W60" s="700">
        <f t="shared" ca="1" si="15"/>
        <v>1206.9798264015117</v>
      </c>
      <c r="X60" s="700">
        <f t="shared" ca="1" si="15"/>
        <v>1338.4305363011013</v>
      </c>
      <c r="Y60" s="700">
        <f t="shared" ca="1" si="15"/>
        <v>1493.8138789567422</v>
      </c>
      <c r="Z60" s="700">
        <f t="shared" ca="1" si="15"/>
        <v>1530.8500631577742</v>
      </c>
    </row>
    <row r="61" spans="1:26" x14ac:dyDescent="0.2">
      <c r="A61" t="s">
        <v>487</v>
      </c>
      <c r="B61" s="696">
        <f t="shared" si="16"/>
        <v>3</v>
      </c>
      <c r="C61" s="700">
        <f t="shared" ca="1" si="17"/>
        <v>489.03188443426973</v>
      </c>
      <c r="D61" s="700">
        <f t="shared" ca="1" si="14"/>
        <v>531.86432904268418</v>
      </c>
      <c r="E61" s="700">
        <f t="shared" ca="1" si="14"/>
        <v>591.01726440214077</v>
      </c>
      <c r="F61" s="700">
        <f t="shared" ca="1" si="14"/>
        <v>676.92714903082287</v>
      </c>
      <c r="G61" s="700">
        <f t="shared" ca="1" si="14"/>
        <v>749.84900709726617</v>
      </c>
      <c r="H61" s="700">
        <f t="shared" ca="1" si="14"/>
        <v>837.45825731041703</v>
      </c>
      <c r="I61" s="700">
        <f t="shared" ca="1" si="14"/>
        <v>883.84153313101967</v>
      </c>
      <c r="J61" s="700">
        <f t="shared" ca="1" si="14"/>
        <v>938.06752316293068</v>
      </c>
      <c r="K61" s="700">
        <f t="shared" ca="1" si="14"/>
        <v>1067.5666677334816</v>
      </c>
      <c r="L61" s="700">
        <f t="shared" ca="1" si="14"/>
        <v>1220.6431290581572</v>
      </c>
      <c r="M61" s="700">
        <f t="shared" ca="1" si="14"/>
        <v>1257.129456089069</v>
      </c>
      <c r="N61" t="s">
        <v>487</v>
      </c>
      <c r="O61" s="696">
        <f t="shared" si="18"/>
        <v>3</v>
      </c>
      <c r="P61" s="700">
        <f t="shared" ca="1" si="19"/>
        <v>771.44768702483145</v>
      </c>
      <c r="Q61" s="700">
        <f t="shared" ca="1" si="15"/>
        <v>814.92562247201511</v>
      </c>
      <c r="R61" s="700">
        <f t="shared" ca="1" si="15"/>
        <v>874.9700002579101</v>
      </c>
      <c r="S61" s="700">
        <f t="shared" ca="1" si="15"/>
        <v>962.17455979665476</v>
      </c>
      <c r="T61" s="700">
        <f t="shared" ca="1" si="15"/>
        <v>1036.1953578591961</v>
      </c>
      <c r="U61" s="700">
        <f t="shared" ca="1" si="15"/>
        <v>1125.1248905483483</v>
      </c>
      <c r="V61" s="700">
        <f t="shared" ca="1" si="15"/>
        <v>1172.2071702794092</v>
      </c>
      <c r="W61" s="700">
        <f t="shared" ca="1" si="15"/>
        <v>1227.2503489995877</v>
      </c>
      <c r="X61" s="700">
        <f t="shared" ca="1" si="15"/>
        <v>1358.7010633456209</v>
      </c>
      <c r="Y61" s="700">
        <f t="shared" ca="1" si="15"/>
        <v>1514.0844074054019</v>
      </c>
      <c r="Z61" s="700">
        <f t="shared" ca="1" si="15"/>
        <v>1551.1205845272273</v>
      </c>
    </row>
    <row r="62" spans="1:26" x14ac:dyDescent="0.2">
      <c r="A62" t="s">
        <v>488</v>
      </c>
      <c r="B62" s="696">
        <f t="shared" si="16"/>
        <v>4</v>
      </c>
      <c r="C62" s="700">
        <f t="shared" ca="1" si="17"/>
        <v>476.38850585643871</v>
      </c>
      <c r="D62" s="700">
        <f t="shared" ca="1" si="14"/>
        <v>519.22095186034426</v>
      </c>
      <c r="E62" s="700">
        <f t="shared" ca="1" si="14"/>
        <v>578.37388672843088</v>
      </c>
      <c r="F62" s="700">
        <f t="shared" ca="1" si="14"/>
        <v>664.2837715143512</v>
      </c>
      <c r="G62" s="700">
        <f t="shared" ca="1" si="14"/>
        <v>737.20562926631771</v>
      </c>
      <c r="H62" s="700">
        <f t="shared" ca="1" si="14"/>
        <v>824.81487904706307</v>
      </c>
      <c r="I62" s="700">
        <f t="shared" ca="1" si="14"/>
        <v>871.19815706900363</v>
      </c>
      <c r="J62" s="700">
        <f t="shared" ca="1" si="14"/>
        <v>925.42414419200361</v>
      </c>
      <c r="K62" s="700">
        <f t="shared" ca="1" si="14"/>
        <v>1054.9232898632235</v>
      </c>
      <c r="L62" s="700">
        <f t="shared" ca="1" si="14"/>
        <v>1207.9997507161838</v>
      </c>
      <c r="M62" s="700">
        <f t="shared" ca="1" si="14"/>
        <v>1244.48607931948</v>
      </c>
      <c r="N62" t="s">
        <v>488</v>
      </c>
      <c r="O62" s="696">
        <f t="shared" si="18"/>
        <v>4</v>
      </c>
      <c r="P62" s="700">
        <f t="shared" ca="1" si="19"/>
        <v>758.61377177267889</v>
      </c>
      <c r="Q62" s="700">
        <f t="shared" ca="1" si="15"/>
        <v>802.09170714672985</v>
      </c>
      <c r="R62" s="700">
        <f t="shared" ca="1" si="15"/>
        <v>862.13608518127489</v>
      </c>
      <c r="S62" s="700">
        <f t="shared" ca="1" si="15"/>
        <v>949.34064354990278</v>
      </c>
      <c r="T62" s="700">
        <f t="shared" ca="1" si="15"/>
        <v>1023.3614440989426</v>
      </c>
      <c r="U62" s="700">
        <f t="shared" ca="1" si="15"/>
        <v>1112.2909741845842</v>
      </c>
      <c r="V62" s="700">
        <f t="shared" ca="1" si="15"/>
        <v>1159.3732552905328</v>
      </c>
      <c r="W62" s="700">
        <f t="shared" ca="1" si="15"/>
        <v>1214.4164341862286</v>
      </c>
      <c r="X62" s="700">
        <f t="shared" ca="1" si="15"/>
        <v>1345.8671493220907</v>
      </c>
      <c r="Y62" s="700">
        <f t="shared" ca="1" si="15"/>
        <v>1501.2504925627902</v>
      </c>
      <c r="Z62" s="700">
        <f t="shared" ca="1" si="15"/>
        <v>1538.2866703281795</v>
      </c>
    </row>
    <row r="63" spans="1:26" x14ac:dyDescent="0.2">
      <c r="A63" t="s">
        <v>489</v>
      </c>
      <c r="B63" s="696">
        <f t="shared" si="16"/>
        <v>5</v>
      </c>
      <c r="C63" s="700">
        <f t="shared" ca="1" si="17"/>
        <v>516.26058135016365</v>
      </c>
      <c r="D63" s="700">
        <f t="shared" ca="1" si="14"/>
        <v>559.0930271968308</v>
      </c>
      <c r="E63" s="700">
        <f t="shared" ca="1" si="14"/>
        <v>618.24596257594237</v>
      </c>
      <c r="F63" s="700">
        <f t="shared" ca="1" si="14"/>
        <v>704.15584641843213</v>
      </c>
      <c r="G63" s="700">
        <f t="shared" ca="1" si="14"/>
        <v>777.07770597864067</v>
      </c>
      <c r="H63" s="700">
        <f t="shared" ca="1" si="14"/>
        <v>864.6869565062683</v>
      </c>
      <c r="I63" s="700">
        <f t="shared" ca="1" si="14"/>
        <v>911.07023122620194</v>
      </c>
      <c r="J63" s="700">
        <f t="shared" ca="1" si="14"/>
        <v>965.2962207077785</v>
      </c>
      <c r="K63" s="700">
        <f t="shared" ca="1" si="14"/>
        <v>1094.7953647279946</v>
      </c>
      <c r="L63" s="700">
        <f t="shared" ca="1" si="14"/>
        <v>1247.8718288829623</v>
      </c>
      <c r="M63" s="700">
        <f t="shared" ca="1" si="14"/>
        <v>1284.3581559138738</v>
      </c>
      <c r="N63" t="s">
        <v>489</v>
      </c>
      <c r="O63" s="696">
        <f t="shared" si="18"/>
        <v>5</v>
      </c>
      <c r="P63" s="700">
        <f t="shared" ca="1" si="19"/>
        <v>799.08672456508316</v>
      </c>
      <c r="Q63" s="700">
        <f t="shared" ca="1" si="15"/>
        <v>842.56466176744209</v>
      </c>
      <c r="R63" s="700">
        <f t="shared" ca="1" si="15"/>
        <v>902.60903706683894</v>
      </c>
      <c r="S63" s="700">
        <f t="shared" ca="1" si="15"/>
        <v>989.81359451399976</v>
      </c>
      <c r="T63" s="700">
        <f t="shared" ca="1" si="15"/>
        <v>1063.8343941123196</v>
      </c>
      <c r="U63" s="700">
        <f t="shared" ca="1" si="15"/>
        <v>1152.7639296097516</v>
      </c>
      <c r="V63" s="700">
        <f t="shared" ca="1" si="15"/>
        <v>1199.846205186898</v>
      </c>
      <c r="W63" s="700">
        <f t="shared" ca="1" si="15"/>
        <v>1254.8893880609912</v>
      </c>
      <c r="X63" s="700">
        <f t="shared" ca="1" si="15"/>
        <v>1386.3400986919037</v>
      </c>
      <c r="Y63" s="700">
        <f t="shared" ca="1" si="15"/>
        <v>1541.7234418740968</v>
      </c>
      <c r="Z63" s="700">
        <f t="shared" ca="1" si="15"/>
        <v>1578.7596235008721</v>
      </c>
    </row>
    <row r="64" spans="1:26" x14ac:dyDescent="0.2">
      <c r="A64" t="s">
        <v>490</v>
      </c>
      <c r="B64" s="696">
        <f t="shared" si="16"/>
        <v>6</v>
      </c>
      <c r="C64" s="700">
        <f t="shared" ca="1" si="17"/>
        <v>453.07132291996936</v>
      </c>
      <c r="D64" s="700">
        <f t="shared" ca="1" si="14"/>
        <v>495.90376941524494</v>
      </c>
      <c r="E64" s="700">
        <f t="shared" ca="1" si="14"/>
        <v>555.05670422436719</v>
      </c>
      <c r="F64" s="700">
        <f t="shared" ca="1" si="14"/>
        <v>640.9665878309994</v>
      </c>
      <c r="G64" s="700">
        <f t="shared" ca="1" si="14"/>
        <v>713.88844668363481</v>
      </c>
      <c r="H64" s="700">
        <f t="shared" ca="1" si="14"/>
        <v>801.49769685747617</v>
      </c>
      <c r="I64" s="700">
        <f t="shared" ca="1" si="14"/>
        <v>847.88097425046328</v>
      </c>
      <c r="J64" s="700">
        <f t="shared" ca="1" si="14"/>
        <v>902.10696160932071</v>
      </c>
      <c r="K64" s="700">
        <f t="shared" ca="1" si="14"/>
        <v>1031.6061079094941</v>
      </c>
      <c r="L64" s="700">
        <f t="shared" ca="1" si="14"/>
        <v>1184.682569627266</v>
      </c>
      <c r="M64" s="700">
        <f t="shared" ca="1" si="14"/>
        <v>1221.1688983878009</v>
      </c>
      <c r="N64" t="s">
        <v>490</v>
      </c>
      <c r="O64" s="696">
        <f t="shared" si="18"/>
        <v>6</v>
      </c>
      <c r="P64" s="700">
        <f t="shared" ca="1" si="19"/>
        <v>734.94519648733728</v>
      </c>
      <c r="Q64" s="700">
        <f t="shared" ca="1" si="15"/>
        <v>778.42313186138858</v>
      </c>
      <c r="R64" s="700">
        <f t="shared" ca="1" si="15"/>
        <v>838.46751017383622</v>
      </c>
      <c r="S64" s="700">
        <f t="shared" ca="1" si="15"/>
        <v>925.67206901051077</v>
      </c>
      <c r="T64" s="700">
        <f t="shared" ca="1" si="15"/>
        <v>999.69286915000953</v>
      </c>
      <c r="U64" s="700">
        <f t="shared" ca="1" si="15"/>
        <v>1088.622399089387</v>
      </c>
      <c r="V64" s="700">
        <f t="shared" ca="1" si="15"/>
        <v>1135.7046800198177</v>
      </c>
      <c r="W64" s="700">
        <f t="shared" ca="1" si="15"/>
        <v>1190.7478585644783</v>
      </c>
      <c r="X64" s="700">
        <f t="shared" ca="1" si="15"/>
        <v>1322.1985737588466</v>
      </c>
      <c r="Y64" s="700">
        <f t="shared" ca="1" si="15"/>
        <v>1477.5819176431105</v>
      </c>
      <c r="Z64" s="700">
        <f t="shared" ca="1" si="15"/>
        <v>1514.6180947649354</v>
      </c>
    </row>
    <row r="65" spans="1:26" x14ac:dyDescent="0.2">
      <c r="A65" t="s">
        <v>491</v>
      </c>
      <c r="B65" s="696">
        <f t="shared" si="16"/>
        <v>7</v>
      </c>
      <c r="C65" s="700">
        <f t="shared" ca="1" si="17"/>
        <v>518.42935334026652</v>
      </c>
      <c r="D65" s="700">
        <f t="shared" ca="1" si="14"/>
        <v>561.26179877418269</v>
      </c>
      <c r="E65" s="700">
        <f t="shared" ca="1" si="14"/>
        <v>620.41473356365009</v>
      </c>
      <c r="F65" s="700">
        <f t="shared" ca="1" si="14"/>
        <v>706.32461760268791</v>
      </c>
      <c r="G65" s="700">
        <f t="shared" ca="1" si="14"/>
        <v>779.24647696634838</v>
      </c>
      <c r="H65" s="700">
        <f t="shared" ca="1" si="14"/>
        <v>866.85572678640324</v>
      </c>
      <c r="I65" s="700">
        <f t="shared" ca="1" si="14"/>
        <v>913.23900111324065</v>
      </c>
      <c r="J65" s="700">
        <f t="shared" ca="1" si="14"/>
        <v>967.46499373958579</v>
      </c>
      <c r="K65" s="700">
        <f t="shared" ca="1" si="14"/>
        <v>1096.9641359515601</v>
      </c>
      <c r="L65" s="700">
        <f t="shared" ca="1" si="14"/>
        <v>1250.0406001065278</v>
      </c>
      <c r="M65" s="700">
        <f t="shared" ca="1" si="14"/>
        <v>1286.5269252505782</v>
      </c>
      <c r="N65" t="s">
        <v>491</v>
      </c>
      <c r="O65" s="696">
        <f t="shared" si="18"/>
        <v>7</v>
      </c>
      <c r="P65" s="700">
        <f t="shared" ca="1" si="19"/>
        <v>801.28818028657054</v>
      </c>
      <c r="Q65" s="700">
        <f t="shared" ca="1" si="15"/>
        <v>844.76611604090976</v>
      </c>
      <c r="R65" s="700">
        <f t="shared" ca="1" si="15"/>
        <v>904.81049193999138</v>
      </c>
      <c r="S65" s="700">
        <f t="shared" ca="1" si="15"/>
        <v>992.01505159574788</v>
      </c>
      <c r="T65" s="700">
        <f t="shared" ca="1" si="15"/>
        <v>1066.0358495997834</v>
      </c>
      <c r="U65" s="700">
        <f t="shared" ca="1" si="15"/>
        <v>1154.9653836345697</v>
      </c>
      <c r="V65" s="700">
        <f t="shared" ca="1" si="15"/>
        <v>1202.0476591239571</v>
      </c>
      <c r="W65" s="700">
        <f t="shared" ca="1" si="15"/>
        <v>1257.0908419102914</v>
      </c>
      <c r="X65" s="700">
        <f t="shared" ca="1" si="15"/>
        <v>1388.5415530385035</v>
      </c>
      <c r="Y65" s="700">
        <f t="shared" ca="1" si="15"/>
        <v>1543.9248961621911</v>
      </c>
      <c r="Z65" s="700">
        <f t="shared" ca="1" si="15"/>
        <v>1580.9610786080477</v>
      </c>
    </row>
    <row r="66" spans="1:26" x14ac:dyDescent="0.2">
      <c r="A66" t="s">
        <v>492</v>
      </c>
      <c r="B66" s="696">
        <f t="shared" si="16"/>
        <v>8</v>
      </c>
      <c r="C66" s="700">
        <f t="shared" ca="1" si="17"/>
        <v>496.88509869434756</v>
      </c>
      <c r="D66" s="700">
        <f t="shared" ca="1" si="14"/>
        <v>539.71754373516751</v>
      </c>
      <c r="E66" s="700">
        <f t="shared" ca="1" si="14"/>
        <v>598.87047911427908</v>
      </c>
      <c r="F66" s="700">
        <f t="shared" ca="1" si="14"/>
        <v>684.78036252436311</v>
      </c>
      <c r="G66" s="700">
        <f t="shared" ca="1" si="14"/>
        <v>757.70222184871409</v>
      </c>
      <c r="H66" s="700">
        <f t="shared" ca="1" si="14"/>
        <v>845.31147072533815</v>
      </c>
      <c r="I66" s="700">
        <f t="shared" ca="1" si="14"/>
        <v>891.69475110585552</v>
      </c>
      <c r="J66" s="700">
        <f t="shared" ca="1" si="14"/>
        <v>945.92073634199403</v>
      </c>
      <c r="K66" s="700">
        <f t="shared" ca="1" si="14"/>
        <v>1075.4198837428369</v>
      </c>
      <c r="L66" s="700">
        <f t="shared" ca="1" si="14"/>
        <v>1228.4963459323239</v>
      </c>
      <c r="M66" s="700">
        <f t="shared" ca="1" si="14"/>
        <v>1264.9826707618975</v>
      </c>
      <c r="N66" t="s">
        <v>492</v>
      </c>
      <c r="O66" s="696">
        <f t="shared" si="18"/>
        <v>8</v>
      </c>
      <c r="P66" s="700">
        <f t="shared" ca="1" si="19"/>
        <v>779.41924943485833</v>
      </c>
      <c r="Q66" s="700">
        <f t="shared" ca="1" si="15"/>
        <v>822.89718527695629</v>
      </c>
      <c r="R66" s="700">
        <f t="shared" ca="1" si="15"/>
        <v>882.94156449624461</v>
      </c>
      <c r="S66" s="700">
        <f t="shared" ca="1" si="15"/>
        <v>970.1461219872848</v>
      </c>
      <c r="T66" s="700">
        <f t="shared" ca="1" si="15"/>
        <v>1044.1669226387096</v>
      </c>
      <c r="U66" s="700">
        <f t="shared" ca="1" si="15"/>
        <v>1133.096451817511</v>
      </c>
      <c r="V66" s="700">
        <f t="shared" ca="1" si="15"/>
        <v>1180.1787347371403</v>
      </c>
      <c r="W66" s="700">
        <f t="shared" ca="1" si="15"/>
        <v>1235.2219133695598</v>
      </c>
      <c r="X66" s="700">
        <f t="shared" ca="1" si="15"/>
        <v>1366.6726281543872</v>
      </c>
      <c r="Y66" s="700">
        <f t="shared" ca="1" si="15"/>
        <v>1522.0559715120983</v>
      </c>
      <c r="Z66" s="700">
        <f t="shared" ca="1" si="15"/>
        <v>1559.0921483413945</v>
      </c>
    </row>
    <row r="67" spans="1:26" x14ac:dyDescent="0.2">
      <c r="A67" t="s">
        <v>493</v>
      </c>
      <c r="B67" s="696">
        <f t="shared" si="16"/>
        <v>9</v>
      </c>
      <c r="C67" s="700">
        <f t="shared" ca="1" si="17"/>
        <v>447.12015358876869</v>
      </c>
      <c r="D67" s="700">
        <f t="shared" ca="1" si="14"/>
        <v>489.95259980887704</v>
      </c>
      <c r="E67" s="700">
        <f t="shared" ca="1" si="14"/>
        <v>549.10553438214163</v>
      </c>
      <c r="F67" s="700">
        <f t="shared" ca="1" si="14"/>
        <v>635.01541869634673</v>
      </c>
      <c r="G67" s="700">
        <f t="shared" ca="1" si="14"/>
        <v>707.93727876758021</v>
      </c>
      <c r="H67" s="700">
        <f t="shared" ca="1" si="14"/>
        <v>795.54652693663127</v>
      </c>
      <c r="I67" s="700">
        <f t="shared" ca="1" si="14"/>
        <v>841.92980535166816</v>
      </c>
      <c r="J67" s="700">
        <f t="shared" ca="1" si="14"/>
        <v>896.15579436152927</v>
      </c>
      <c r="K67" s="700">
        <f t="shared" ca="1" si="14"/>
        <v>1025.6549364162652</v>
      </c>
      <c r="L67" s="700">
        <f t="shared" ca="1" si="14"/>
        <v>1178.7313974264641</v>
      </c>
      <c r="M67" s="700">
        <f t="shared" ca="1" si="14"/>
        <v>1215.2177274449064</v>
      </c>
      <c r="N67" t="s">
        <v>493</v>
      </c>
      <c r="O67" s="696">
        <f t="shared" si="18"/>
        <v>9</v>
      </c>
      <c r="P67" s="700">
        <f t="shared" ca="1" si="19"/>
        <v>728.90434324554678</v>
      </c>
      <c r="Q67" s="700">
        <f t="shared" ca="1" si="15"/>
        <v>772.38228071849517</v>
      </c>
      <c r="R67" s="700">
        <f t="shared" ca="1" si="15"/>
        <v>832.42665546208661</v>
      </c>
      <c r="S67" s="700">
        <f t="shared" ca="1" si="15"/>
        <v>919.63121347967933</v>
      </c>
      <c r="T67" s="700">
        <f t="shared" ca="1" si="15"/>
        <v>993.65201337052838</v>
      </c>
      <c r="U67" s="700">
        <f t="shared" ca="1" si="15"/>
        <v>1082.5815451235867</v>
      </c>
      <c r="V67" s="700">
        <f t="shared" ca="1" si="15"/>
        <v>1129.6638232457371</v>
      </c>
      <c r="W67" s="700">
        <f t="shared" ca="1" si="15"/>
        <v>1184.7070073777058</v>
      </c>
      <c r="X67" s="700">
        <f t="shared" ca="1" si="15"/>
        <v>1316.15771692626</v>
      </c>
      <c r="Y67" s="700">
        <f t="shared" ca="1" si="15"/>
        <v>1471.5410598159247</v>
      </c>
      <c r="Z67" s="700">
        <f t="shared" ca="1" si="15"/>
        <v>1508.5772419107464</v>
      </c>
    </row>
    <row r="68" spans="1:26" x14ac:dyDescent="0.2">
      <c r="A68" t="s">
        <v>494</v>
      </c>
      <c r="B68" s="696">
        <f t="shared" si="16"/>
        <v>10</v>
      </c>
      <c r="C68" s="700">
        <f t="shared" ca="1" si="17"/>
        <v>423.90998499094525</v>
      </c>
      <c r="D68" s="700">
        <f t="shared" ca="1" si="14"/>
        <v>466.74243014969403</v>
      </c>
      <c r="E68" s="700">
        <f t="shared" ca="1" si="14"/>
        <v>525.8953646639942</v>
      </c>
      <c r="F68" s="700">
        <f t="shared" ca="1" si="14"/>
        <v>611.80525110091821</v>
      </c>
      <c r="G68" s="700">
        <f t="shared" ca="1" si="14"/>
        <v>684.72710869564639</v>
      </c>
      <c r="H68" s="700">
        <f t="shared" ca="1" si="14"/>
        <v>772.33635918396442</v>
      </c>
      <c r="I68" s="700">
        <f t="shared" ca="1" si="14"/>
        <v>818.71963413975561</v>
      </c>
      <c r="J68" s="700">
        <f t="shared" ca="1" si="14"/>
        <v>872.94562668748165</v>
      </c>
      <c r="K68" s="700">
        <f t="shared" ca="1" si="14"/>
        <v>1002.4447674056906</v>
      </c>
      <c r="L68" s="700">
        <f t="shared" ca="1" si="14"/>
        <v>1155.5212307744659</v>
      </c>
      <c r="M68" s="700">
        <f t="shared" ca="1" si="14"/>
        <v>1192.0075576481395</v>
      </c>
      <c r="N68" t="s">
        <v>494</v>
      </c>
      <c r="O68" s="696">
        <f t="shared" si="18"/>
        <v>10</v>
      </c>
      <c r="P68" s="700">
        <f t="shared" ca="1" si="19"/>
        <v>705.34439370082862</v>
      </c>
      <c r="Q68" s="700">
        <f t="shared" ca="1" si="15"/>
        <v>748.82232917726515</v>
      </c>
      <c r="R68" s="700">
        <f t="shared" ca="1" si="15"/>
        <v>808.86670538350245</v>
      </c>
      <c r="S68" s="700">
        <f t="shared" ca="1" si="15"/>
        <v>896.07126417629775</v>
      </c>
      <c r="T68" s="700">
        <f t="shared" ca="1" si="15"/>
        <v>970.09206267763284</v>
      </c>
      <c r="U68" s="700">
        <f t="shared" ca="1" si="15"/>
        <v>1059.0215974144892</v>
      </c>
      <c r="V68" s="700">
        <f t="shared" ca="1" si="15"/>
        <v>1106.1038747760638</v>
      </c>
      <c r="W68" s="700">
        <f t="shared" ca="1" si="15"/>
        <v>1161.1470570943513</v>
      </c>
      <c r="X68" s="700">
        <f t="shared" ca="1" si="15"/>
        <v>1292.5977663503763</v>
      </c>
      <c r="Y68" s="700">
        <f t="shared" ca="1" si="15"/>
        <v>1447.9811095910759</v>
      </c>
      <c r="Z68" s="700">
        <f t="shared" ca="1" si="15"/>
        <v>1485.0172909253217</v>
      </c>
    </row>
    <row r="69" spans="1:26" x14ac:dyDescent="0.2">
      <c r="A69" t="s">
        <v>495</v>
      </c>
      <c r="B69" s="696">
        <f t="shared" si="16"/>
        <v>11</v>
      </c>
      <c r="C69" s="700">
        <f t="shared" ca="1" si="17"/>
        <v>476.323150171328</v>
      </c>
      <c r="D69" s="700">
        <f t="shared" ca="1" si="14"/>
        <v>519.15559564455384</v>
      </c>
      <c r="E69" s="700">
        <f t="shared" ca="1" si="14"/>
        <v>578.30852939231647</v>
      </c>
      <c r="F69" s="700">
        <f t="shared" ca="1" si="14"/>
        <v>664.21841508235809</v>
      </c>
      <c r="G69" s="700">
        <f t="shared" ca="1" si="14"/>
        <v>737.14027409223195</v>
      </c>
      <c r="H69" s="700">
        <f t="shared" ca="1" si="14"/>
        <v>824.74952257576001</v>
      </c>
      <c r="I69" s="700">
        <f t="shared" ca="1" si="14"/>
        <v>871.13280154113147</v>
      </c>
      <c r="J69" s="700">
        <f t="shared" ca="1" si="14"/>
        <v>925.35879322404594</v>
      </c>
      <c r="K69" s="700">
        <f t="shared" ca="1" si="14"/>
        <v>1054.8579318981554</v>
      </c>
      <c r="L69" s="700">
        <f t="shared" ca="1" si="14"/>
        <v>1207.9343951883118</v>
      </c>
      <c r="M69" s="700">
        <f t="shared" ca="1" si="14"/>
        <v>1244.4207225337002</v>
      </c>
      <c r="N69" t="s">
        <v>495</v>
      </c>
      <c r="O69" s="696">
        <f t="shared" si="18"/>
        <v>11</v>
      </c>
      <c r="P69" s="700">
        <f t="shared" ca="1" si="19"/>
        <v>758.54743158962731</v>
      </c>
      <c r="Q69" s="700">
        <f t="shared" ca="1" si="15"/>
        <v>802.02536731471344</v>
      </c>
      <c r="R69" s="700">
        <f t="shared" ca="1" si="15"/>
        <v>862.06974510060843</v>
      </c>
      <c r="S69" s="700">
        <f t="shared" ca="1" si="15"/>
        <v>949.27430133377334</v>
      </c>
      <c r="T69" s="700">
        <f t="shared" ca="1" si="15"/>
        <v>1023.2951033600855</v>
      </c>
      <c r="U69" s="700">
        <f t="shared" ca="1" si="15"/>
        <v>1112.224633211704</v>
      </c>
      <c r="V69" s="700">
        <f t="shared" ca="1" si="15"/>
        <v>1159.3069143761581</v>
      </c>
      <c r="W69" s="700">
        <f t="shared" ca="1" si="15"/>
        <v>1214.3500969284689</v>
      </c>
      <c r="X69" s="700">
        <f t="shared" ca="1" si="15"/>
        <v>1345.800805511677</v>
      </c>
      <c r="Y69" s="700">
        <f t="shared" ca="1" si="15"/>
        <v>1501.1841479918007</v>
      </c>
      <c r="Z69" s="700">
        <f t="shared" ca="1" si="15"/>
        <v>1538.220332485362</v>
      </c>
    </row>
    <row r="70" spans="1:26" x14ac:dyDescent="0.2">
      <c r="A70" t="s">
        <v>496</v>
      </c>
      <c r="B70" s="696">
        <f t="shared" si="16"/>
        <v>12</v>
      </c>
      <c r="C70" s="700">
        <f t="shared" ca="1" si="17"/>
        <v>497.9363786374393</v>
      </c>
      <c r="D70" s="700">
        <f t="shared" ca="1" si="14"/>
        <v>540.76882416962951</v>
      </c>
      <c r="E70" s="700">
        <f t="shared" ca="1" si="14"/>
        <v>599.92175825152401</v>
      </c>
      <c r="F70" s="700">
        <f t="shared" ca="1" si="14"/>
        <v>685.83164276227706</v>
      </c>
      <c r="G70" s="700">
        <f t="shared" ca="1" si="14"/>
        <v>758.75350247972403</v>
      </c>
      <c r="H70" s="700">
        <f t="shared" ca="1" si="14"/>
        <v>846.36275104187143</v>
      </c>
      <c r="I70" s="700">
        <f t="shared" ca="1" si="14"/>
        <v>892.74603102929268</v>
      </c>
      <c r="J70" s="700">
        <f t="shared" ca="1" si="14"/>
        <v>946.97201744471954</v>
      </c>
      <c r="K70" s="700">
        <f t="shared" ca="1" si="14"/>
        <v>1076.4711643738469</v>
      </c>
      <c r="L70" s="700">
        <f t="shared" ca="1" si="14"/>
        <v>1229.5476257771418</v>
      </c>
      <c r="M70" s="700">
        <f t="shared" ca="1" si="14"/>
        <v>1266.0339512356693</v>
      </c>
      <c r="N70" t="s">
        <v>496</v>
      </c>
      <c r="O70" s="696">
        <f t="shared" si="18"/>
        <v>12</v>
      </c>
      <c r="P70" s="700">
        <f t="shared" ca="1" si="19"/>
        <v>780.48637377817693</v>
      </c>
      <c r="Q70" s="700">
        <f t="shared" ca="1" si="15"/>
        <v>823.96430834777289</v>
      </c>
      <c r="R70" s="700">
        <f t="shared" ca="1" si="15"/>
        <v>884.00868804973436</v>
      </c>
      <c r="S70" s="700">
        <f t="shared" ca="1" si="15"/>
        <v>971.21324396111675</v>
      </c>
      <c r="T70" s="700">
        <f t="shared" ca="1" si="15"/>
        <v>1045.2340465432344</v>
      </c>
      <c r="U70" s="700">
        <f t="shared" ca="1" si="15"/>
        <v>1134.1635748444482</v>
      </c>
      <c r="V70" s="700">
        <f t="shared" ca="1" si="15"/>
        <v>1181.245856535455</v>
      </c>
      <c r="W70" s="700">
        <f t="shared" ca="1" si="15"/>
        <v>1236.2890384734546</v>
      </c>
      <c r="X70" s="700">
        <f t="shared" ca="1" si="15"/>
        <v>1367.7397502452311</v>
      </c>
      <c r="Y70" s="700">
        <f t="shared" ca="1" si="15"/>
        <v>1523.1230933689187</v>
      </c>
      <c r="Z70" s="700">
        <f t="shared" ca="1" si="15"/>
        <v>1560.159271134308</v>
      </c>
    </row>
    <row r="71" spans="1:26" x14ac:dyDescent="0.2">
      <c r="A71" t="s">
        <v>497</v>
      </c>
      <c r="B71" s="696">
        <f t="shared" si="16"/>
        <v>13</v>
      </c>
      <c r="C71" s="700">
        <f t="shared" ca="1" si="17"/>
        <v>491.42172930507513</v>
      </c>
      <c r="D71" s="700">
        <f t="shared" ca="1" si="14"/>
        <v>534.25417458175298</v>
      </c>
      <c r="E71" s="700">
        <f t="shared" ca="1" si="14"/>
        <v>593.40710913536259</v>
      </c>
      <c r="F71" s="700">
        <f t="shared" ca="1" si="14"/>
        <v>679.3169941571407</v>
      </c>
      <c r="G71" s="700">
        <f t="shared" ca="1" si="14"/>
        <v>752.23885179117838</v>
      </c>
      <c r="H71" s="700">
        <f t="shared" ca="1" si="14"/>
        <v>839.84810176847157</v>
      </c>
      <c r="I71" s="700">
        <f t="shared" ca="1" si="14"/>
        <v>886.23138277794271</v>
      </c>
      <c r="J71" s="700">
        <f t="shared" ca="1" si="14"/>
        <v>940.45736809270045</v>
      </c>
      <c r="K71" s="700">
        <f t="shared" ca="1" si="14"/>
        <v>1069.9565134494435</v>
      </c>
      <c r="L71" s="700">
        <f t="shared" ca="1" si="14"/>
        <v>1223.0329770540766</v>
      </c>
      <c r="M71" s="700">
        <f t="shared" ca="1" si="14"/>
        <v>1259.5193031415577</v>
      </c>
      <c r="N71" t="s">
        <v>497</v>
      </c>
      <c r="O71" s="696">
        <f t="shared" si="18"/>
        <v>13</v>
      </c>
      <c r="P71" s="700">
        <f t="shared" ca="1" si="19"/>
        <v>773.87354704934353</v>
      </c>
      <c r="Q71" s="700">
        <f t="shared" ca="1" si="15"/>
        <v>817.35148235026247</v>
      </c>
      <c r="R71" s="700">
        <f t="shared" ca="1" si="15"/>
        <v>877.39586158417717</v>
      </c>
      <c r="S71" s="700">
        <f t="shared" ca="1" si="15"/>
        <v>964.60041834389438</v>
      </c>
      <c r="T71" s="700">
        <f t="shared" ca="1" si="15"/>
        <v>1038.6212200776774</v>
      </c>
      <c r="U71" s="700">
        <f t="shared" ca="1" si="15"/>
        <v>1127.550749900043</v>
      </c>
      <c r="V71" s="700">
        <f t="shared" ca="1" si="15"/>
        <v>1174.6330323516256</v>
      </c>
      <c r="W71" s="700">
        <f t="shared" ca="1" si="15"/>
        <v>1229.676211481345</v>
      </c>
      <c r="X71" s="700">
        <f t="shared" ca="1" si="15"/>
        <v>1361.1269243939848</v>
      </c>
      <c r="Y71" s="700">
        <f t="shared" ca="1" si="15"/>
        <v>1516.5102675176731</v>
      </c>
      <c r="Z71" s="700">
        <f t="shared" ca="1" si="15"/>
        <v>1553.5464448735215</v>
      </c>
    </row>
    <row r="72" spans="1:26" x14ac:dyDescent="0.2">
      <c r="A72" t="s">
        <v>498</v>
      </c>
      <c r="B72" s="696">
        <f t="shared" si="16"/>
        <v>14</v>
      </c>
      <c r="C72" s="700">
        <f t="shared" ca="1" si="17"/>
        <v>505.75798423703162</v>
      </c>
      <c r="D72" s="700">
        <f t="shared" ca="1" si="14"/>
        <v>548.59042904199407</v>
      </c>
      <c r="E72" s="700">
        <f t="shared" ca="1" si="14"/>
        <v>607.74336324181729</v>
      </c>
      <c r="F72" s="700">
        <f t="shared" ca="1" si="14"/>
        <v>693.6532489318588</v>
      </c>
      <c r="G72" s="700">
        <f t="shared" ca="1" si="14"/>
        <v>766.57510766656549</v>
      </c>
      <c r="H72" s="700">
        <f t="shared" ca="1" si="14"/>
        <v>854.18435583561666</v>
      </c>
      <c r="I72" s="700">
        <f t="shared" ca="1" si="14"/>
        <v>900.56763456513045</v>
      </c>
      <c r="J72" s="700">
        <f t="shared" ca="1" si="14"/>
        <v>954.79362664114103</v>
      </c>
      <c r="K72" s="700">
        <f t="shared" ca="1" si="14"/>
        <v>1084.2927672021117</v>
      </c>
      <c r="L72" s="700">
        <f t="shared" ca="1" si="14"/>
        <v>1237.3692290771221</v>
      </c>
      <c r="M72" s="700">
        <f t="shared" ca="1" si="14"/>
        <v>1273.8555554790801</v>
      </c>
      <c r="N72" t="s">
        <v>498</v>
      </c>
      <c r="O72" s="696">
        <f t="shared" si="18"/>
        <v>14</v>
      </c>
      <c r="P72" s="700">
        <f t="shared" ca="1" si="19"/>
        <v>788.42585224299648</v>
      </c>
      <c r="Q72" s="700">
        <f t="shared" ca="1" si="15"/>
        <v>831.90378741227721</v>
      </c>
      <c r="R72" s="700">
        <f t="shared" ca="1" si="15"/>
        <v>891.94816609038639</v>
      </c>
      <c r="S72" s="700">
        <f t="shared" ca="1" si="15"/>
        <v>979.15272165073384</v>
      </c>
      <c r="T72" s="700">
        <f t="shared" ca="1" si="15"/>
        <v>1053.1735234430228</v>
      </c>
      <c r="U72" s="700">
        <f t="shared" ca="1" si="15"/>
        <v>1142.1030524170535</v>
      </c>
      <c r="V72" s="700">
        <f t="shared" ca="1" si="15"/>
        <v>1189.1853336107606</v>
      </c>
      <c r="W72" s="700">
        <f t="shared" ca="1" si="15"/>
        <v>1244.2285179474995</v>
      </c>
      <c r="X72" s="700">
        <f t="shared" ca="1" si="15"/>
        <v>1375.6792257701318</v>
      </c>
      <c r="Y72" s="700">
        <f t="shared" ca="1" si="15"/>
        <v>1531.062568425773</v>
      </c>
      <c r="Z72" s="700">
        <f t="shared" ca="1" si="15"/>
        <v>1568.0987530948516</v>
      </c>
    </row>
    <row r="74" spans="1:26" x14ac:dyDescent="0.2">
      <c r="B74" t="s">
        <v>484</v>
      </c>
      <c r="C74" t="s">
        <v>82</v>
      </c>
      <c r="G74" s="697"/>
      <c r="O74" t="s">
        <v>484</v>
      </c>
      <c r="P74" t="s">
        <v>82</v>
      </c>
      <c r="T74" s="697"/>
    </row>
    <row r="75" spans="1:26" x14ac:dyDescent="0.2">
      <c r="B75">
        <v>1</v>
      </c>
      <c r="C75">
        <v>2</v>
      </c>
      <c r="O75">
        <v>2</v>
      </c>
      <c r="P75">
        <v>2</v>
      </c>
    </row>
    <row r="76" spans="1:26" x14ac:dyDescent="0.2">
      <c r="A76" s="699"/>
      <c r="B76">
        <v>0</v>
      </c>
      <c r="C76" s="697">
        <f>S$122</f>
        <v>68000</v>
      </c>
      <c r="D76" s="697">
        <f t="shared" ref="D76:M76" si="20">T$122</f>
        <v>82000</v>
      </c>
      <c r="E76" s="697">
        <f t="shared" si="20"/>
        <v>109000</v>
      </c>
      <c r="F76" s="697">
        <f t="shared" si="20"/>
        <v>136000</v>
      </c>
      <c r="G76" s="697">
        <f t="shared" si="20"/>
        <v>163000</v>
      </c>
      <c r="H76" s="697">
        <f t="shared" si="20"/>
        <v>191000</v>
      </c>
      <c r="I76" s="697">
        <f t="shared" si="20"/>
        <v>218000</v>
      </c>
      <c r="J76" s="697">
        <f t="shared" si="20"/>
        <v>272000</v>
      </c>
      <c r="K76" s="697">
        <f t="shared" si="20"/>
        <v>341000</v>
      </c>
      <c r="L76" s="697">
        <f t="shared" si="20"/>
        <v>409000</v>
      </c>
      <c r="M76" s="697">
        <f t="shared" si="20"/>
        <v>681000</v>
      </c>
      <c r="N76" s="699"/>
      <c r="O76">
        <v>0</v>
      </c>
      <c r="P76" s="697">
        <f>S$122</f>
        <v>68000</v>
      </c>
      <c r="Q76" s="697">
        <f t="shared" ref="Q76:Z76" si="21">T$122</f>
        <v>82000</v>
      </c>
      <c r="R76" s="697">
        <f t="shared" si="21"/>
        <v>109000</v>
      </c>
      <c r="S76" s="697">
        <f t="shared" si="21"/>
        <v>136000</v>
      </c>
      <c r="T76" s="697">
        <f t="shared" si="21"/>
        <v>163000</v>
      </c>
      <c r="U76" s="697">
        <f t="shared" si="21"/>
        <v>191000</v>
      </c>
      <c r="V76" s="697">
        <f t="shared" si="21"/>
        <v>218000</v>
      </c>
      <c r="W76" s="697">
        <f t="shared" si="21"/>
        <v>272000</v>
      </c>
      <c r="X76" s="697">
        <f t="shared" si="21"/>
        <v>341000</v>
      </c>
      <c r="Y76" s="697">
        <f t="shared" si="21"/>
        <v>409000</v>
      </c>
      <c r="Z76" s="697">
        <f t="shared" si="21"/>
        <v>681000</v>
      </c>
    </row>
    <row r="77" spans="1:26" x14ac:dyDescent="0.2">
      <c r="A77" t="s">
        <v>485</v>
      </c>
      <c r="B77" s="696">
        <f>B76+1</f>
        <v>1</v>
      </c>
      <c r="C77" s="700">
        <f ca="1">OFFSET(S$131,($B77-1)*12,0)</f>
        <v>596.78727163904136</v>
      </c>
      <c r="D77" s="700">
        <f t="shared" ref="D77:M90" ca="1" si="22">OFFSET(T$131,($B77-1)*12,0)</f>
        <v>639.64978620686941</v>
      </c>
      <c r="E77" s="700">
        <f t="shared" ca="1" si="22"/>
        <v>698.84424394636358</v>
      </c>
      <c r="F77" s="700">
        <f t="shared" ca="1" si="22"/>
        <v>784.81443849420702</v>
      </c>
      <c r="G77" s="700">
        <f t="shared" ca="1" si="22"/>
        <v>857.78748697871697</v>
      </c>
      <c r="H77" s="700">
        <f t="shared" ca="1" si="22"/>
        <v>945.45824185684967</v>
      </c>
      <c r="I77" s="700">
        <f t="shared" ca="1" si="22"/>
        <v>991.87407893034185</v>
      </c>
      <c r="J77" s="700">
        <f t="shared" ca="1" si="22"/>
        <v>1046.1381382973575</v>
      </c>
      <c r="K77" s="700">
        <f t="shared" ca="1" si="22"/>
        <v>1175.7281863140115</v>
      </c>
      <c r="L77" s="700">
        <f t="shared" ca="1" si="22"/>
        <v>1328.9121086048649</v>
      </c>
      <c r="M77" s="700">
        <f t="shared" ca="1" si="22"/>
        <v>1365.4240547875124</v>
      </c>
      <c r="N77" t="s">
        <v>485</v>
      </c>
      <c r="O77" s="696">
        <f>O76+1</f>
        <v>1</v>
      </c>
      <c r="P77" s="700">
        <f ca="1">OFFSET(S$126,($B77-1)*12,0)</f>
        <v>837.60939608666047</v>
      </c>
      <c r="Q77" s="700">
        <f t="shared" ref="Q77:Z90" ca="1" si="23">OFFSET(T$126,($B77-1)*12,0)</f>
        <v>881.25673850471617</v>
      </c>
      <c r="R77" s="700">
        <f t="shared" ca="1" si="23"/>
        <v>941.53506991582321</v>
      </c>
      <c r="S77" s="700">
        <f t="shared" ca="1" si="23"/>
        <v>1029.0794098415695</v>
      </c>
      <c r="T77" s="700">
        <f t="shared" ca="1" si="23"/>
        <v>1103.3886235276705</v>
      </c>
      <c r="U77" s="700">
        <f t="shared" ca="1" si="23"/>
        <v>1192.6646604350935</v>
      </c>
      <c r="V77" s="700">
        <f t="shared" ca="1" si="23"/>
        <v>1239.9303893881561</v>
      </c>
      <c r="W77" s="700">
        <f t="shared" ca="1" si="23"/>
        <v>1295.1880411236909</v>
      </c>
      <c r="X77" s="700">
        <f t="shared" ca="1" si="23"/>
        <v>1427.1509339709362</v>
      </c>
      <c r="Y77" s="700">
        <f t="shared" ca="1" si="23"/>
        <v>1583.1397109256159</v>
      </c>
      <c r="Z77" s="700">
        <f t="shared" ca="1" si="23"/>
        <v>1620.320201039852</v>
      </c>
    </row>
    <row r="78" spans="1:26" x14ac:dyDescent="0.2">
      <c r="A78" t="s">
        <v>486</v>
      </c>
      <c r="B78" s="696">
        <f t="shared" ref="B78:B90" si="24">B77+1</f>
        <v>2</v>
      </c>
      <c r="C78" s="700">
        <f t="shared" ref="C78:C90" ca="1" si="25">OFFSET(S$131,($B78-1)*12,0)</f>
        <v>586.8387402094877</v>
      </c>
      <c r="D78" s="700">
        <f t="shared" ca="1" si="22"/>
        <v>629.70125484887603</v>
      </c>
      <c r="E78" s="700">
        <f t="shared" ca="1" si="22"/>
        <v>688.89571430581566</v>
      </c>
      <c r="F78" s="700">
        <f t="shared" ca="1" si="22"/>
        <v>774.86591128670705</v>
      </c>
      <c r="G78" s="700">
        <f t="shared" ca="1" si="22"/>
        <v>847.83895938956232</v>
      </c>
      <c r="H78" s="700">
        <f t="shared" ca="1" si="22"/>
        <v>935.5097109282176</v>
      </c>
      <c r="I78" s="700">
        <f t="shared" ca="1" si="22"/>
        <v>981.92555143660081</v>
      </c>
      <c r="J78" s="700">
        <f t="shared" ca="1" si="22"/>
        <v>1036.1896051742115</v>
      </c>
      <c r="K78" s="700">
        <f t="shared" ca="1" si="22"/>
        <v>1165.7796546220702</v>
      </c>
      <c r="L78" s="700">
        <f t="shared" ca="1" si="22"/>
        <v>1318.9635811111241</v>
      </c>
      <c r="M78" s="700">
        <f t="shared" ca="1" si="22"/>
        <v>1355.4755232863984</v>
      </c>
      <c r="N78" t="s">
        <v>486</v>
      </c>
      <c r="O78" s="696">
        <f t="shared" ref="O78:O90" si="26">O77+1</f>
        <v>2</v>
      </c>
      <c r="P78" s="700">
        <f t="shared" ref="P78:P90" ca="1" si="27">OFFSET(S$126,($B78-1)*12,0)</f>
        <v>829.54620407775519</v>
      </c>
      <c r="Q78" s="700">
        <f t="shared" ca="1" si="23"/>
        <v>873.19354663419108</v>
      </c>
      <c r="R78" s="700">
        <f t="shared" ca="1" si="23"/>
        <v>933.4718802380952</v>
      </c>
      <c r="S78" s="700">
        <f t="shared" ca="1" si="23"/>
        <v>1021.0162202489987</v>
      </c>
      <c r="T78" s="700">
        <f t="shared" ca="1" si="23"/>
        <v>1095.325433413512</v>
      </c>
      <c r="U78" s="700">
        <f t="shared" ca="1" si="23"/>
        <v>1184.6014695545207</v>
      </c>
      <c r="V78" s="700">
        <f t="shared" ca="1" si="23"/>
        <v>1231.8671990611044</v>
      </c>
      <c r="W78" s="700">
        <f t="shared" ca="1" si="23"/>
        <v>1287.124850626325</v>
      </c>
      <c r="X78" s="700">
        <f t="shared" ca="1" si="23"/>
        <v>1419.0877430052062</v>
      </c>
      <c r="Y78" s="700">
        <f t="shared" ca="1" si="23"/>
        <v>1575.0765208966147</v>
      </c>
      <c r="Z78" s="700">
        <f t="shared" ca="1" si="23"/>
        <v>1612.2570096483357</v>
      </c>
    </row>
    <row r="79" spans="1:26" x14ac:dyDescent="0.2">
      <c r="A79" t="s">
        <v>487</v>
      </c>
      <c r="B79" s="696">
        <f t="shared" si="24"/>
        <v>3</v>
      </c>
      <c r="C79" s="700">
        <f t="shared" ca="1" si="25"/>
        <v>606.82234274497807</v>
      </c>
      <c r="D79" s="700">
        <f t="shared" ca="1" si="22"/>
        <v>649.68485626325605</v>
      </c>
      <c r="E79" s="700">
        <f t="shared" ca="1" si="22"/>
        <v>708.87931710369355</v>
      </c>
      <c r="F79" s="700">
        <f t="shared" ca="1" si="22"/>
        <v>794.84951198548481</v>
      </c>
      <c r="G79" s="700">
        <f t="shared" ca="1" si="22"/>
        <v>867.82256161495843</v>
      </c>
      <c r="H79" s="700">
        <f t="shared" ca="1" si="22"/>
        <v>955.49331429857727</v>
      </c>
      <c r="I79" s="700">
        <f t="shared" ca="1" si="22"/>
        <v>1001.9091542344788</v>
      </c>
      <c r="J79" s="700">
        <f t="shared" ca="1" si="22"/>
        <v>1056.1732104528444</v>
      </c>
      <c r="K79" s="700">
        <f t="shared" ca="1" si="22"/>
        <v>1185.7632640989034</v>
      </c>
      <c r="L79" s="700">
        <f t="shared" ca="1" si="22"/>
        <v>1338.9471877255482</v>
      </c>
      <c r="M79" s="700">
        <f t="shared" ca="1" si="22"/>
        <v>1375.4591251301399</v>
      </c>
      <c r="N79" t="s">
        <v>487</v>
      </c>
      <c r="O79" s="696">
        <f t="shared" si="26"/>
        <v>3</v>
      </c>
      <c r="P79" s="700">
        <f t="shared" ca="1" si="27"/>
        <v>849.89571316849219</v>
      </c>
      <c r="Q79" s="700">
        <f t="shared" ca="1" si="23"/>
        <v>893.54305461256274</v>
      </c>
      <c r="R79" s="700">
        <f t="shared" ca="1" si="23"/>
        <v>953.82138820582213</v>
      </c>
      <c r="S79" s="700">
        <f t="shared" ca="1" si="23"/>
        <v>1041.3657271841951</v>
      </c>
      <c r="T79" s="700">
        <f t="shared" ca="1" si="23"/>
        <v>1115.6749414770409</v>
      </c>
      <c r="U79" s="700">
        <f t="shared" ca="1" si="23"/>
        <v>1204.9509768303453</v>
      </c>
      <c r="V79" s="700">
        <f t="shared" ca="1" si="23"/>
        <v>1252.2167057408292</v>
      </c>
      <c r="W79" s="700">
        <f t="shared" ca="1" si="23"/>
        <v>1307.4743586685647</v>
      </c>
      <c r="X79" s="700">
        <f t="shared" ca="1" si="23"/>
        <v>1439.4372520054637</v>
      </c>
      <c r="Y79" s="700">
        <f t="shared" ca="1" si="23"/>
        <v>1595.4260285343573</v>
      </c>
      <c r="Z79" s="700">
        <f t="shared" ca="1" si="23"/>
        <v>1632.6065182228076</v>
      </c>
    </row>
    <row r="80" spans="1:26" x14ac:dyDescent="0.2">
      <c r="A80" t="s">
        <v>488</v>
      </c>
      <c r="B80" s="696">
        <f t="shared" si="24"/>
        <v>4</v>
      </c>
      <c r="C80" s="700">
        <f t="shared" ca="1" si="25"/>
        <v>594.17009024993115</v>
      </c>
      <c r="D80" s="700">
        <f t="shared" ca="1" si="22"/>
        <v>637.03260324343398</v>
      </c>
      <c r="E80" s="700">
        <f t="shared" ca="1" si="22"/>
        <v>696.22706327285562</v>
      </c>
      <c r="F80" s="700">
        <f t="shared" ca="1" si="22"/>
        <v>782.19725758216487</v>
      </c>
      <c r="G80" s="700">
        <f t="shared" ca="1" si="22"/>
        <v>855.17030649603646</v>
      </c>
      <c r="H80" s="700">
        <f t="shared" ca="1" si="22"/>
        <v>942.84106185123721</v>
      </c>
      <c r="I80" s="700">
        <f t="shared" ca="1" si="22"/>
        <v>989.25689615773365</v>
      </c>
      <c r="J80" s="700">
        <f t="shared" ca="1" si="22"/>
        <v>1043.5209550476811</v>
      </c>
      <c r="K80" s="700">
        <f t="shared" ca="1" si="22"/>
        <v>1173.1110075487766</v>
      </c>
      <c r="L80" s="700">
        <f t="shared" ca="1" si="22"/>
        <v>1326.2949307937668</v>
      </c>
      <c r="M80" s="700">
        <f t="shared" ca="1" si="22"/>
        <v>1362.8068699158041</v>
      </c>
      <c r="N80" t="s">
        <v>488</v>
      </c>
      <c r="O80" s="696">
        <f t="shared" si="26"/>
        <v>4</v>
      </c>
      <c r="P80" s="700">
        <f t="shared" ca="1" si="27"/>
        <v>837.01179161713537</v>
      </c>
      <c r="Q80" s="700">
        <f t="shared" ca="1" si="23"/>
        <v>880.65913449291077</v>
      </c>
      <c r="R80" s="700">
        <f t="shared" ca="1" si="23"/>
        <v>940.93746652140726</v>
      </c>
      <c r="S80" s="700">
        <f t="shared" ca="1" si="23"/>
        <v>1028.4818054678462</v>
      </c>
      <c r="T80" s="700">
        <f t="shared" ca="1" si="23"/>
        <v>1102.7910195158649</v>
      </c>
      <c r="U80" s="700">
        <f t="shared" ca="1" si="23"/>
        <v>1192.0670573387276</v>
      </c>
      <c r="V80" s="700">
        <f t="shared" ca="1" si="23"/>
        <v>1239.3327855892435</v>
      </c>
      <c r="W80" s="700">
        <f t="shared" ca="1" si="23"/>
        <v>1294.5904366222319</v>
      </c>
      <c r="X80" s="700">
        <f t="shared" ca="1" si="23"/>
        <v>1426.5533308958597</v>
      </c>
      <c r="Y80" s="700">
        <f t="shared" ca="1" si="23"/>
        <v>1582.5421091704754</v>
      </c>
      <c r="Z80" s="700">
        <f t="shared" ca="1" si="23"/>
        <v>1619.7225962190532</v>
      </c>
    </row>
    <row r="81" spans="1:26" x14ac:dyDescent="0.2">
      <c r="A81" t="s">
        <v>489</v>
      </c>
      <c r="B81" s="696">
        <f t="shared" si="24"/>
        <v>5</v>
      </c>
      <c r="C81" s="700">
        <f t="shared" ca="1" si="25"/>
        <v>634.07015257095122</v>
      </c>
      <c r="D81" s="700">
        <f t="shared" ca="1" si="22"/>
        <v>676.93266687639164</v>
      </c>
      <c r="E81" s="700">
        <f t="shared" ca="1" si="22"/>
        <v>736.12713005446346</v>
      </c>
      <c r="F81" s="700">
        <f t="shared" ca="1" si="22"/>
        <v>822.09732288486146</v>
      </c>
      <c r="G81" s="700">
        <f t="shared" ca="1" si="22"/>
        <v>895.07037485196952</v>
      </c>
      <c r="H81" s="700">
        <f t="shared" ca="1" si="22"/>
        <v>982.74112515024706</v>
      </c>
      <c r="I81" s="700">
        <f t="shared" ca="1" si="22"/>
        <v>1029.156964132012</v>
      </c>
      <c r="J81" s="700">
        <f t="shared" ca="1" si="22"/>
        <v>1083.421022640305</v>
      </c>
      <c r="K81" s="700">
        <f t="shared" ca="1" si="22"/>
        <v>1213.0110699890633</v>
      </c>
      <c r="L81" s="700">
        <f t="shared" ca="1" si="22"/>
        <v>1366.1949926615716</v>
      </c>
      <c r="M81" s="700">
        <f t="shared" ca="1" si="22"/>
        <v>1402.7069382717373</v>
      </c>
      <c r="N81" t="s">
        <v>489</v>
      </c>
      <c r="O81" s="696">
        <f t="shared" si="26"/>
        <v>5</v>
      </c>
      <c r="P81" s="700">
        <f t="shared" ca="1" si="27"/>
        <v>877.64244128080361</v>
      </c>
      <c r="Q81" s="700">
        <f t="shared" ca="1" si="23"/>
        <v>921.28978519975442</v>
      </c>
      <c r="R81" s="700">
        <f t="shared" ca="1" si="23"/>
        <v>981.56811837787268</v>
      </c>
      <c r="S81" s="700">
        <f t="shared" ca="1" si="23"/>
        <v>1069.1124578565439</v>
      </c>
      <c r="T81" s="700">
        <f t="shared" ca="1" si="23"/>
        <v>1143.4216727880685</v>
      </c>
      <c r="U81" s="700">
        <f t="shared" ca="1" si="23"/>
        <v>1232.6977073110907</v>
      </c>
      <c r="V81" s="700">
        <f t="shared" ca="1" si="23"/>
        <v>1279.9634386485538</v>
      </c>
      <c r="W81" s="700">
        <f t="shared" ca="1" si="23"/>
        <v>1335.2210878080843</v>
      </c>
      <c r="X81" s="700">
        <f t="shared" ca="1" si="23"/>
        <v>1467.1839818262411</v>
      </c>
      <c r="Y81" s="700">
        <f t="shared" ca="1" si="23"/>
        <v>1623.1727590363919</v>
      </c>
      <c r="Z81" s="700">
        <f t="shared" ca="1" si="23"/>
        <v>1660.3532482564779</v>
      </c>
    </row>
    <row r="82" spans="1:26" x14ac:dyDescent="0.2">
      <c r="A82" t="s">
        <v>490</v>
      </c>
      <c r="B82" s="696">
        <f t="shared" si="24"/>
        <v>6</v>
      </c>
      <c r="C82" s="700">
        <f t="shared" ca="1" si="25"/>
        <v>570.83653891905635</v>
      </c>
      <c r="D82" s="700">
        <f t="shared" ca="1" si="22"/>
        <v>613.69905184099912</v>
      </c>
      <c r="E82" s="700">
        <f t="shared" ca="1" si="22"/>
        <v>672.89351201354111</v>
      </c>
      <c r="F82" s="700">
        <f t="shared" ca="1" si="22"/>
        <v>758.86370627514361</v>
      </c>
      <c r="G82" s="700">
        <f t="shared" ca="1" si="22"/>
        <v>831.83675576149687</v>
      </c>
      <c r="H82" s="700">
        <f t="shared" ca="1" si="22"/>
        <v>919.50751054421596</v>
      </c>
      <c r="I82" s="700">
        <f t="shared" ca="1" si="22"/>
        <v>965.92334485071217</v>
      </c>
      <c r="J82" s="700">
        <f t="shared" ca="1" si="22"/>
        <v>1020.1874032635917</v>
      </c>
      <c r="K82" s="700">
        <f t="shared" ca="1" si="22"/>
        <v>1149.77745662341</v>
      </c>
      <c r="L82" s="700">
        <f t="shared" ca="1" si="22"/>
        <v>1302.9613806317088</v>
      </c>
      <c r="M82" s="700">
        <f t="shared" ca="1" si="22"/>
        <v>1339.4733178454735</v>
      </c>
      <c r="N82" t="s">
        <v>490</v>
      </c>
      <c r="O82" s="696">
        <f t="shared" si="26"/>
        <v>6</v>
      </c>
      <c r="P82" s="700">
        <f t="shared" ca="1" si="27"/>
        <v>813.25099457382316</v>
      </c>
      <c r="Q82" s="700">
        <f t="shared" ca="1" si="23"/>
        <v>856.89833677366346</v>
      </c>
      <c r="R82" s="700">
        <f t="shared" ca="1" si="23"/>
        <v>917.17666962179771</v>
      </c>
      <c r="S82" s="700">
        <f t="shared" ca="1" si="23"/>
        <v>1004.7210083979222</v>
      </c>
      <c r="T82" s="700">
        <f t="shared" ca="1" si="23"/>
        <v>1079.0302226481892</v>
      </c>
      <c r="U82" s="700">
        <f t="shared" ca="1" si="23"/>
        <v>1168.3062606413662</v>
      </c>
      <c r="V82" s="700">
        <f t="shared" ca="1" si="23"/>
        <v>1215.5719884235177</v>
      </c>
      <c r="W82" s="700">
        <f t="shared" ca="1" si="23"/>
        <v>1270.829640031317</v>
      </c>
      <c r="X82" s="700">
        <f t="shared" ca="1" si="23"/>
        <v>1402.7925336662663</v>
      </c>
      <c r="Y82" s="700">
        <f t="shared" ca="1" si="23"/>
        <v>1558.7813103228955</v>
      </c>
      <c r="Z82" s="700">
        <f t="shared" ca="1" si="23"/>
        <v>1595.96179898946</v>
      </c>
    </row>
    <row r="83" spans="1:26" x14ac:dyDescent="0.2">
      <c r="A83" t="s">
        <v>491</v>
      </c>
      <c r="B83" s="696">
        <f t="shared" si="24"/>
        <v>7</v>
      </c>
      <c r="C83" s="700">
        <f t="shared" ca="1" si="25"/>
        <v>636.24044990655887</v>
      </c>
      <c r="D83" s="700">
        <f t="shared" ca="1" si="22"/>
        <v>679.10296161197755</v>
      </c>
      <c r="E83" s="700">
        <f t="shared" ca="1" si="22"/>
        <v>738.29742493316974</v>
      </c>
      <c r="F83" s="700">
        <f t="shared" ca="1" si="22"/>
        <v>824.26761690484466</v>
      </c>
      <c r="G83" s="700">
        <f t="shared" ca="1" si="22"/>
        <v>897.24066729762774</v>
      </c>
      <c r="H83" s="700">
        <f t="shared" ca="1" si="22"/>
        <v>984.91141711883733</v>
      </c>
      <c r="I83" s="700">
        <f t="shared" ca="1" si="22"/>
        <v>1031.3272582951161</v>
      </c>
      <c r="J83" s="700">
        <f t="shared" ca="1" si="22"/>
        <v>1085.5913157538591</v>
      </c>
      <c r="K83" s="700">
        <f t="shared" ca="1" si="22"/>
        <v>1215.1813659650268</v>
      </c>
      <c r="L83" s="700">
        <f t="shared" ca="1" si="22"/>
        <v>1368.3652914999443</v>
      </c>
      <c r="M83" s="700">
        <f t="shared" ca="1" si="22"/>
        <v>1404.8772334843914</v>
      </c>
      <c r="N83" t="s">
        <v>491</v>
      </c>
      <c r="O83" s="696">
        <f t="shared" si="26"/>
        <v>7</v>
      </c>
      <c r="P83" s="700">
        <f t="shared" ca="1" si="27"/>
        <v>879.85247590770587</v>
      </c>
      <c r="Q83" s="700">
        <f t="shared" ca="1" si="23"/>
        <v>923.49981700050307</v>
      </c>
      <c r="R83" s="700">
        <f t="shared" ca="1" si="23"/>
        <v>983.77815171145028</v>
      </c>
      <c r="S83" s="700">
        <f t="shared" ca="1" si="23"/>
        <v>1071.3224897956727</v>
      </c>
      <c r="T83" s="700">
        <f t="shared" ca="1" si="23"/>
        <v>1145.6317050252474</v>
      </c>
      <c r="U83" s="700">
        <f t="shared" ca="1" si="23"/>
        <v>1234.9077396121377</v>
      </c>
      <c r="V83" s="700">
        <f t="shared" ca="1" si="23"/>
        <v>1282.1734691825898</v>
      </c>
      <c r="W83" s="700">
        <f t="shared" ca="1" si="23"/>
        <v>1337.431122344507</v>
      </c>
      <c r="X83" s="700">
        <f t="shared" ca="1" si="23"/>
        <v>1469.394013999552</v>
      </c>
      <c r="Y83" s="700">
        <f t="shared" ca="1" si="23"/>
        <v>1625.3827918483819</v>
      </c>
      <c r="Z83" s="700">
        <f t="shared" ca="1" si="23"/>
        <v>1662.563281451675</v>
      </c>
    </row>
    <row r="84" spans="1:26" x14ac:dyDescent="0.2">
      <c r="A84" t="s">
        <v>492</v>
      </c>
      <c r="B84" s="696">
        <f t="shared" si="24"/>
        <v>8</v>
      </c>
      <c r="C84" s="700">
        <f t="shared" ca="1" si="25"/>
        <v>614.68107155988434</v>
      </c>
      <c r="D84" s="700">
        <f t="shared" ca="1" si="22"/>
        <v>657.54358469650776</v>
      </c>
      <c r="E84" s="700">
        <f t="shared" ca="1" si="22"/>
        <v>716.7380444873952</v>
      </c>
      <c r="F84" s="700">
        <f t="shared" ca="1" si="22"/>
        <v>802.70823746091344</v>
      </c>
      <c r="G84" s="700">
        <f t="shared" ca="1" si="22"/>
        <v>875.68128732892126</v>
      </c>
      <c r="H84" s="700">
        <f t="shared" ca="1" si="22"/>
        <v>963.35204249329502</v>
      </c>
      <c r="I84" s="700">
        <f t="shared" ca="1" si="22"/>
        <v>1009.7678786126507</v>
      </c>
      <c r="J84" s="700">
        <f t="shared" ca="1" si="22"/>
        <v>1064.03193807508</v>
      </c>
      <c r="K84" s="700">
        <f t="shared" ca="1" si="22"/>
        <v>1193.6219873321115</v>
      </c>
      <c r="L84" s="700">
        <f t="shared" ca="1" si="22"/>
        <v>1346.8059119128927</v>
      </c>
      <c r="M84" s="700">
        <f t="shared" ca="1" si="22"/>
        <v>1383.3178523707213</v>
      </c>
      <c r="N84" t="s">
        <v>492</v>
      </c>
      <c r="O84" s="696">
        <f t="shared" si="26"/>
        <v>8</v>
      </c>
      <c r="P84" s="700">
        <f t="shared" ca="1" si="27"/>
        <v>857.89833628448014</v>
      </c>
      <c r="Q84" s="700">
        <f t="shared" ca="1" si="23"/>
        <v>901.5456789473626</v>
      </c>
      <c r="R84" s="700">
        <f t="shared" ca="1" si="23"/>
        <v>961.82401001784103</v>
      </c>
      <c r="S84" s="700">
        <f t="shared" ca="1" si="23"/>
        <v>1049.3683509761179</v>
      </c>
      <c r="T84" s="700">
        <f t="shared" ca="1" si="23"/>
        <v>1123.6775649389795</v>
      </c>
      <c r="U84" s="700">
        <f t="shared" ca="1" si="23"/>
        <v>1212.9536019315599</v>
      </c>
      <c r="V84" s="700">
        <f t="shared" ca="1" si="23"/>
        <v>1260.2193292879256</v>
      </c>
      <c r="W84" s="700">
        <f t="shared" ca="1" si="23"/>
        <v>1315.4769808744352</v>
      </c>
      <c r="X84" s="700">
        <f t="shared" ca="1" si="23"/>
        <v>1447.4398745093847</v>
      </c>
      <c r="Y84" s="700">
        <f t="shared" ca="1" si="23"/>
        <v>1603.4286515917997</v>
      </c>
      <c r="Z84" s="700">
        <f t="shared" ca="1" si="23"/>
        <v>1640.6091401732067</v>
      </c>
    </row>
    <row r="85" spans="1:26" x14ac:dyDescent="0.2">
      <c r="A85" t="s">
        <v>493</v>
      </c>
      <c r="B85" s="696">
        <f t="shared" si="24"/>
        <v>9</v>
      </c>
      <c r="C85" s="700">
        <f t="shared" ca="1" si="25"/>
        <v>564.88119050703551</v>
      </c>
      <c r="D85" s="700">
        <f t="shared" ca="1" si="22"/>
        <v>607.74370328585758</v>
      </c>
      <c r="E85" s="700">
        <f t="shared" ca="1" si="22"/>
        <v>666.93816622539555</v>
      </c>
      <c r="F85" s="700">
        <f t="shared" ca="1" si="22"/>
        <v>752.90835967598196</v>
      </c>
      <c r="G85" s="700">
        <f t="shared" ca="1" si="22"/>
        <v>825.8814111183151</v>
      </c>
      <c r="H85" s="700">
        <f t="shared" ca="1" si="22"/>
        <v>913.55216189366104</v>
      </c>
      <c r="I85" s="700">
        <f t="shared" ca="1" si="22"/>
        <v>959.96800230663052</v>
      </c>
      <c r="J85" s="700">
        <f t="shared" ca="1" si="22"/>
        <v>1014.2320565213097</v>
      </c>
      <c r="K85" s="700">
        <f t="shared" ca="1" si="22"/>
        <v>1143.822114079328</v>
      </c>
      <c r="L85" s="700">
        <f t="shared" ca="1" si="22"/>
        <v>1297.0060344619087</v>
      </c>
      <c r="M85" s="700">
        <f t="shared" ca="1" si="22"/>
        <v>1333.5179711031913</v>
      </c>
      <c r="N85" t="s">
        <v>493</v>
      </c>
      <c r="O85" s="696">
        <f t="shared" si="26"/>
        <v>9</v>
      </c>
      <c r="P85" s="700">
        <f t="shared" ca="1" si="27"/>
        <v>807.18660253636369</v>
      </c>
      <c r="Q85" s="700">
        <f t="shared" ca="1" si="23"/>
        <v>850.83394506086574</v>
      </c>
      <c r="R85" s="700">
        <f t="shared" ca="1" si="23"/>
        <v>911.11227971858978</v>
      </c>
      <c r="S85" s="700">
        <f t="shared" ca="1" si="23"/>
        <v>998.65661963369155</v>
      </c>
      <c r="T85" s="700">
        <f t="shared" ca="1" si="23"/>
        <v>1072.9658334794619</v>
      </c>
      <c r="U85" s="700">
        <f t="shared" ca="1" si="23"/>
        <v>1162.2418672786484</v>
      </c>
      <c r="V85" s="700">
        <f t="shared" ca="1" si="23"/>
        <v>1209.5075973174651</v>
      </c>
      <c r="W85" s="700">
        <f t="shared" ca="1" si="23"/>
        <v>1264.7652483717422</v>
      </c>
      <c r="X85" s="700">
        <f t="shared" ca="1" si="23"/>
        <v>1396.7281429008419</v>
      </c>
      <c r="Y85" s="700">
        <f t="shared" ca="1" si="23"/>
        <v>1552.7169181949566</v>
      </c>
      <c r="Z85" s="700">
        <f t="shared" ca="1" si="23"/>
        <v>1589.8974075427782</v>
      </c>
    </row>
    <row r="86" spans="1:26" x14ac:dyDescent="0.2">
      <c r="A86" t="s">
        <v>494</v>
      </c>
      <c r="B86" s="696">
        <f t="shared" si="24"/>
        <v>10</v>
      </c>
      <c r="C86" s="700">
        <f t="shared" ca="1" si="25"/>
        <v>541.65472789874605</v>
      </c>
      <c r="D86" s="700">
        <f t="shared" ca="1" si="22"/>
        <v>584.51724158399793</v>
      </c>
      <c r="E86" s="700">
        <f t="shared" ca="1" si="22"/>
        <v>643.71170266296951</v>
      </c>
      <c r="F86" s="700">
        <f t="shared" ca="1" si="22"/>
        <v>729.68189711539924</v>
      </c>
      <c r="G86" s="700">
        <f t="shared" ca="1" si="22"/>
        <v>802.65494731735498</v>
      </c>
      <c r="H86" s="700">
        <f t="shared" ca="1" si="22"/>
        <v>890.32569637525512</v>
      </c>
      <c r="I86" s="700">
        <f t="shared" ca="1" si="22"/>
        <v>936.74153631115678</v>
      </c>
      <c r="J86" s="700">
        <f t="shared" ca="1" si="22"/>
        <v>991.00559558275881</v>
      </c>
      <c r="K86" s="700">
        <f t="shared" ca="1" si="22"/>
        <v>1120.5956415003125</v>
      </c>
      <c r="L86" s="700">
        <f t="shared" ca="1" si="22"/>
        <v>1273.7795616920657</v>
      </c>
      <c r="M86" s="700">
        <f t="shared" ca="1" si="22"/>
        <v>1310.2915071114041</v>
      </c>
      <c r="N86" t="s">
        <v>494</v>
      </c>
      <c r="O86" s="696">
        <f t="shared" si="26"/>
        <v>10</v>
      </c>
      <c r="P86" s="700">
        <f t="shared" ca="1" si="27"/>
        <v>783.53485330279602</v>
      </c>
      <c r="Q86" s="700">
        <f t="shared" ca="1" si="23"/>
        <v>827.1821965245224</v>
      </c>
      <c r="R86" s="700">
        <f t="shared" ca="1" si="23"/>
        <v>887.4605303306746</v>
      </c>
      <c r="S86" s="700">
        <f t="shared" ca="1" si="23"/>
        <v>975.00486953258508</v>
      </c>
      <c r="T86" s="700">
        <f t="shared" ca="1" si="23"/>
        <v>1049.3140843683077</v>
      </c>
      <c r="U86" s="700">
        <f t="shared" ca="1" si="23"/>
        <v>1138.5901179758905</v>
      </c>
      <c r="V86" s="700">
        <f t="shared" ca="1" si="23"/>
        <v>1185.855849249486</v>
      </c>
      <c r="W86" s="700">
        <f t="shared" ca="1" si="23"/>
        <v>1241.1135009637317</v>
      </c>
      <c r="X86" s="700">
        <f t="shared" ca="1" si="23"/>
        <v>1373.0763939812912</v>
      </c>
      <c r="Y86" s="700">
        <f t="shared" ca="1" si="23"/>
        <v>1529.0651702972918</v>
      </c>
      <c r="Z86" s="700">
        <f t="shared" ca="1" si="23"/>
        <v>1566.2456596025349</v>
      </c>
    </row>
    <row r="87" spans="1:26" x14ac:dyDescent="0.2">
      <c r="A87" t="s">
        <v>495</v>
      </c>
      <c r="B87" s="696">
        <f t="shared" si="24"/>
        <v>11</v>
      </c>
      <c r="C87" s="700">
        <f t="shared" ca="1" si="25"/>
        <v>594.10468681918439</v>
      </c>
      <c r="D87" s="700">
        <f t="shared" ca="1" si="22"/>
        <v>636.96720062370332</v>
      </c>
      <c r="E87" s="700">
        <f t="shared" ca="1" si="22"/>
        <v>696.16166089165904</v>
      </c>
      <c r="F87" s="700">
        <f t="shared" ca="1" si="22"/>
        <v>782.13185615510474</v>
      </c>
      <c r="G87" s="700">
        <f t="shared" ca="1" si="22"/>
        <v>855.10490502126925</v>
      </c>
      <c r="H87" s="700">
        <f t="shared" ca="1" si="22"/>
        <v>942.7756578003017</v>
      </c>
      <c r="I87" s="700">
        <f t="shared" ca="1" si="22"/>
        <v>989.19149210679814</v>
      </c>
      <c r="J87" s="700">
        <f t="shared" ca="1" si="22"/>
        <v>1043.455551760055</v>
      </c>
      <c r="K87" s="700">
        <f t="shared" ca="1" si="22"/>
        <v>1173.0455974867814</v>
      </c>
      <c r="L87" s="700">
        <f t="shared" ca="1" si="22"/>
        <v>1326.2295201592895</v>
      </c>
      <c r="M87" s="700">
        <f t="shared" ca="1" si="22"/>
        <v>1362.7414655786279</v>
      </c>
      <c r="N87" t="s">
        <v>495</v>
      </c>
      <c r="O87" s="696">
        <f t="shared" si="26"/>
        <v>11</v>
      </c>
      <c r="P87" s="700">
        <f t="shared" ca="1" si="27"/>
        <v>836.94519242578417</v>
      </c>
      <c r="Q87" s="700">
        <f t="shared" ca="1" si="23"/>
        <v>880.59253463626919</v>
      </c>
      <c r="R87" s="700">
        <f t="shared" ca="1" si="23"/>
        <v>940.87086671798886</v>
      </c>
      <c r="S87" s="700">
        <f t="shared" ca="1" si="23"/>
        <v>1028.4152085384824</v>
      </c>
      <c r="T87" s="700">
        <f t="shared" ca="1" si="23"/>
        <v>1102.7244208407792</v>
      </c>
      <c r="U87" s="700">
        <f t="shared" ca="1" si="23"/>
        <v>1192.0004572159698</v>
      </c>
      <c r="V87" s="700">
        <f t="shared" ca="1" si="23"/>
        <v>1239.266186062586</v>
      </c>
      <c r="W87" s="700">
        <f t="shared" ca="1" si="23"/>
        <v>1294.523838245196</v>
      </c>
      <c r="X87" s="700">
        <f t="shared" ca="1" si="23"/>
        <v>1426.4867304537627</v>
      </c>
      <c r="Y87" s="700">
        <f t="shared" ca="1" si="23"/>
        <v>1582.4755076639135</v>
      </c>
      <c r="Z87" s="700">
        <f t="shared" ca="1" si="23"/>
        <v>1619.6559972246282</v>
      </c>
    </row>
    <row r="88" spans="1:26" x14ac:dyDescent="0.2">
      <c r="A88" t="s">
        <v>496</v>
      </c>
      <c r="B88" s="696">
        <f t="shared" si="24"/>
        <v>12</v>
      </c>
      <c r="C88" s="700">
        <f t="shared" ca="1" si="25"/>
        <v>615.73308849493719</v>
      </c>
      <c r="D88" s="700">
        <f t="shared" ca="1" si="22"/>
        <v>658.59560330129932</v>
      </c>
      <c r="E88" s="700">
        <f t="shared" ca="1" si="22"/>
        <v>717.79006123162071</v>
      </c>
      <c r="F88" s="700">
        <f t="shared" ca="1" si="22"/>
        <v>803.76025506386168</v>
      </c>
      <c r="G88" s="700">
        <f t="shared" ca="1" si="22"/>
        <v>876.73330617224713</v>
      </c>
      <c r="H88" s="700">
        <f t="shared" ca="1" si="22"/>
        <v>964.40405856962491</v>
      </c>
      <c r="I88" s="700">
        <f t="shared" ca="1" si="22"/>
        <v>1010.8198972651489</v>
      </c>
      <c r="J88" s="700">
        <f t="shared" ca="1" si="22"/>
        <v>1065.0839552963739</v>
      </c>
      <c r="K88" s="700">
        <f t="shared" ca="1" si="22"/>
        <v>1194.6740044579915</v>
      </c>
      <c r="L88" s="700">
        <f t="shared" ca="1" si="22"/>
        <v>1347.8579280846359</v>
      </c>
      <c r="M88" s="700">
        <f t="shared" ca="1" si="22"/>
        <v>1384.3698717865286</v>
      </c>
      <c r="N88" t="s">
        <v>496</v>
      </c>
      <c r="O88" s="696">
        <f t="shared" si="26"/>
        <v>12</v>
      </c>
      <c r="P88" s="700">
        <f t="shared" ca="1" si="27"/>
        <v>858.96961743338704</v>
      </c>
      <c r="Q88" s="700">
        <f t="shared" ca="1" si="23"/>
        <v>902.61696009626962</v>
      </c>
      <c r="R88" s="700">
        <f t="shared" ca="1" si="23"/>
        <v>962.89529168833565</v>
      </c>
      <c r="S88" s="700">
        <f t="shared" ca="1" si="23"/>
        <v>1050.4396314863461</v>
      </c>
      <c r="T88" s="700">
        <f t="shared" ca="1" si="23"/>
        <v>1124.7488451830916</v>
      </c>
      <c r="U88" s="700">
        <f t="shared" ca="1" si="23"/>
        <v>1214.024882175672</v>
      </c>
      <c r="V88" s="700">
        <f t="shared" ca="1" si="23"/>
        <v>1261.290609851377</v>
      </c>
      <c r="W88" s="700">
        <f t="shared" ca="1" si="23"/>
        <v>1316.548261459176</v>
      </c>
      <c r="X88" s="700">
        <f t="shared" ca="1" si="23"/>
        <v>1448.5111546683395</v>
      </c>
      <c r="Y88" s="700">
        <f t="shared" ca="1" si="23"/>
        <v>1604.4999326023265</v>
      </c>
      <c r="Z88" s="700">
        <f t="shared" ca="1" si="23"/>
        <v>1641.6804215669406</v>
      </c>
    </row>
    <row r="89" spans="1:26" x14ac:dyDescent="0.2">
      <c r="A89" t="s">
        <v>497</v>
      </c>
      <c r="B89" s="696">
        <f t="shared" si="24"/>
        <v>13</v>
      </c>
      <c r="C89" s="700">
        <f t="shared" ca="1" si="25"/>
        <v>609.21386575567101</v>
      </c>
      <c r="D89" s="700">
        <f t="shared" ca="1" si="22"/>
        <v>652.07638108680828</v>
      </c>
      <c r="E89" s="700">
        <f t="shared" ca="1" si="22"/>
        <v>711.27083882630234</v>
      </c>
      <c r="F89" s="700">
        <f t="shared" ca="1" si="22"/>
        <v>797.24103246771608</v>
      </c>
      <c r="G89" s="700">
        <f t="shared" ca="1" si="22"/>
        <v>870.21408290820591</v>
      </c>
      <c r="H89" s="700">
        <f t="shared" ca="1" si="22"/>
        <v>957.88483492392913</v>
      </c>
      <c r="I89" s="700">
        <f t="shared" ca="1" si="22"/>
        <v>1004.3006740011078</v>
      </c>
      <c r="J89" s="700">
        <f t="shared" ca="1" si="22"/>
        <v>1058.564732509401</v>
      </c>
      <c r="K89" s="700">
        <f t="shared" ca="1" si="22"/>
        <v>1188.1547792856773</v>
      </c>
      <c r="L89" s="700">
        <f t="shared" ca="1" si="22"/>
        <v>1341.3387032939768</v>
      </c>
      <c r="M89" s="700">
        <f t="shared" ca="1" si="22"/>
        <v>1377.8506460417327</v>
      </c>
      <c r="N89" t="s">
        <v>497</v>
      </c>
      <c r="O89" s="696">
        <f t="shared" si="26"/>
        <v>13</v>
      </c>
      <c r="P89" s="700">
        <f t="shared" ca="1" si="27"/>
        <v>852.33102602818587</v>
      </c>
      <c r="Q89" s="700">
        <f t="shared" ca="1" si="23"/>
        <v>895.97836782885224</v>
      </c>
      <c r="R89" s="700">
        <f t="shared" ca="1" si="23"/>
        <v>956.25669982541456</v>
      </c>
      <c r="S89" s="700">
        <f t="shared" ca="1" si="23"/>
        <v>1043.8010399640536</v>
      </c>
      <c r="T89" s="700">
        <f t="shared" ca="1" si="23"/>
        <v>1118.1102528518063</v>
      </c>
      <c r="U89" s="700">
        <f t="shared" ca="1" si="23"/>
        <v>1207.3862901424366</v>
      </c>
      <c r="V89" s="700">
        <f t="shared" ca="1" si="23"/>
        <v>1254.6520186910027</v>
      </c>
      <c r="W89" s="700">
        <f t="shared" ca="1" si="23"/>
        <v>1309.9096704265376</v>
      </c>
      <c r="X89" s="700">
        <f t="shared" ca="1" si="23"/>
        <v>1441.8725630821791</v>
      </c>
      <c r="Y89" s="700">
        <f t="shared" ca="1" si="23"/>
        <v>1597.8613389723944</v>
      </c>
      <c r="Z89" s="700">
        <f t="shared" ca="1" si="23"/>
        <v>1635.0418285756871</v>
      </c>
    </row>
    <row r="90" spans="1:26" x14ac:dyDescent="0.2">
      <c r="A90" t="s">
        <v>498</v>
      </c>
      <c r="B90" s="696">
        <f t="shared" si="24"/>
        <v>14</v>
      </c>
      <c r="C90" s="700">
        <f t="shared" ca="1" si="25"/>
        <v>623.56018434657722</v>
      </c>
      <c r="D90" s="700">
        <f t="shared" ca="1" si="22"/>
        <v>666.42269838963023</v>
      </c>
      <c r="E90" s="700">
        <f t="shared" ca="1" si="22"/>
        <v>725.61715770344938</v>
      </c>
      <c r="F90" s="700">
        <f t="shared" ca="1" si="22"/>
        <v>811.58735353937698</v>
      </c>
      <c r="G90" s="700">
        <f t="shared" ca="1" si="22"/>
        <v>884.56040130828478</v>
      </c>
      <c r="H90" s="700">
        <f t="shared" ca="1" si="22"/>
        <v>972.23115351483534</v>
      </c>
      <c r="I90" s="700">
        <f t="shared" ca="1" si="22"/>
        <v>1018.6469906837409</v>
      </c>
      <c r="J90" s="700">
        <f t="shared" ca="1" si="22"/>
        <v>1072.9110494782749</v>
      </c>
      <c r="K90" s="700">
        <f t="shared" ca="1" si="22"/>
        <v>1202.5010953958288</v>
      </c>
      <c r="L90" s="700">
        <f t="shared" ca="1" si="22"/>
        <v>1355.6850173050277</v>
      </c>
      <c r="M90" s="700">
        <f t="shared" ca="1" si="22"/>
        <v>1392.1969619610568</v>
      </c>
      <c r="N90" t="s">
        <v>498</v>
      </c>
      <c r="O90" s="696">
        <f t="shared" si="26"/>
        <v>14</v>
      </c>
      <c r="P90" s="700">
        <f t="shared" ca="1" si="27"/>
        <v>866.94003026024723</v>
      </c>
      <c r="Q90" s="700">
        <f t="shared" ca="1" si="23"/>
        <v>910.58737262507964</v>
      </c>
      <c r="R90" s="700">
        <f t="shared" ca="1" si="23"/>
        <v>970.86570441939375</v>
      </c>
      <c r="S90" s="700">
        <f t="shared" ca="1" si="23"/>
        <v>1058.4100464634248</v>
      </c>
      <c r="T90" s="700">
        <f t="shared" ca="1" si="23"/>
        <v>1132.7192584996053</v>
      </c>
      <c r="U90" s="700">
        <f t="shared" ca="1" si="23"/>
        <v>1221.995295023821</v>
      </c>
      <c r="V90" s="700">
        <f t="shared" ca="1" si="23"/>
        <v>1269.2610243175125</v>
      </c>
      <c r="W90" s="700">
        <f t="shared" ca="1" si="23"/>
        <v>1324.5186757337078</v>
      </c>
      <c r="X90" s="700">
        <f t="shared" ca="1" si="23"/>
        <v>1456.4815681338782</v>
      </c>
      <c r="Y90" s="700">
        <f t="shared" ca="1" si="23"/>
        <v>1612.4703459827081</v>
      </c>
      <c r="Z90" s="700">
        <f t="shared" ca="1" si="23"/>
        <v>1649.6508353731083</v>
      </c>
    </row>
    <row r="92" spans="1:26" x14ac:dyDescent="0.2">
      <c r="B92" t="s">
        <v>484</v>
      </c>
      <c r="C92" t="s">
        <v>82</v>
      </c>
      <c r="G92" s="697"/>
      <c r="O92" t="s">
        <v>484</v>
      </c>
      <c r="P92" t="s">
        <v>82</v>
      </c>
      <c r="T92" s="697"/>
    </row>
    <row r="93" spans="1:26" x14ac:dyDescent="0.2">
      <c r="B93">
        <v>1</v>
      </c>
      <c r="C93" t="s">
        <v>483</v>
      </c>
      <c r="O93">
        <v>2</v>
      </c>
      <c r="P93" t="s">
        <v>483</v>
      </c>
    </row>
    <row r="94" spans="1:26" x14ac:dyDescent="0.2">
      <c r="A94" s="699"/>
      <c r="B94">
        <v>0</v>
      </c>
      <c r="C94" s="697">
        <f>S$122</f>
        <v>68000</v>
      </c>
      <c r="D94" s="697">
        <f t="shared" ref="D94:M94" si="28">T$122</f>
        <v>82000</v>
      </c>
      <c r="E94" s="697">
        <f t="shared" si="28"/>
        <v>109000</v>
      </c>
      <c r="F94" s="697">
        <f t="shared" si="28"/>
        <v>136000</v>
      </c>
      <c r="G94" s="697">
        <f t="shared" si="28"/>
        <v>163000</v>
      </c>
      <c r="H94" s="697">
        <f t="shared" si="28"/>
        <v>191000</v>
      </c>
      <c r="I94" s="697">
        <f t="shared" si="28"/>
        <v>218000</v>
      </c>
      <c r="J94" s="697">
        <f t="shared" si="28"/>
        <v>272000</v>
      </c>
      <c r="K94" s="697">
        <f t="shared" si="28"/>
        <v>341000</v>
      </c>
      <c r="L94" s="697">
        <f t="shared" si="28"/>
        <v>409000</v>
      </c>
      <c r="M94" s="697">
        <f t="shared" si="28"/>
        <v>681000</v>
      </c>
      <c r="N94" s="699"/>
      <c r="O94">
        <v>0</v>
      </c>
      <c r="P94" s="697">
        <f>S$122</f>
        <v>68000</v>
      </c>
      <c r="Q94" s="697">
        <f t="shared" ref="Q94:Z94" si="29">T$122</f>
        <v>82000</v>
      </c>
      <c r="R94" s="697">
        <f t="shared" si="29"/>
        <v>109000</v>
      </c>
      <c r="S94" s="697">
        <f t="shared" si="29"/>
        <v>136000</v>
      </c>
      <c r="T94" s="697">
        <f t="shared" si="29"/>
        <v>163000</v>
      </c>
      <c r="U94" s="697">
        <f t="shared" si="29"/>
        <v>191000</v>
      </c>
      <c r="V94" s="697">
        <f t="shared" si="29"/>
        <v>218000</v>
      </c>
      <c r="W94" s="697">
        <f t="shared" si="29"/>
        <v>272000</v>
      </c>
      <c r="X94" s="697">
        <f t="shared" si="29"/>
        <v>341000</v>
      </c>
      <c r="Y94" s="697">
        <f t="shared" si="29"/>
        <v>409000</v>
      </c>
      <c r="Z94" s="697">
        <f t="shared" si="29"/>
        <v>681000</v>
      </c>
    </row>
    <row r="95" spans="1:26" x14ac:dyDescent="0.2">
      <c r="A95" t="s">
        <v>485</v>
      </c>
      <c r="B95" s="696">
        <f>B94+1</f>
        <v>1</v>
      </c>
      <c r="C95" s="700">
        <f ca="1">OFFSET(AI$128,($B95-1)*8,0)</f>
        <v>118.57093283662789</v>
      </c>
      <c r="D95" s="700">
        <f t="shared" ref="D95:M108" ca="1" si="30">OFFSET(AJ$128,($B95-1)*8,0)</f>
        <v>118.6010027960416</v>
      </c>
      <c r="E95" s="700">
        <f t="shared" ca="1" si="30"/>
        <v>118.64252786878728</v>
      </c>
      <c r="F95" s="700">
        <f t="shared" ca="1" si="30"/>
        <v>118.70283531144344</v>
      </c>
      <c r="G95" s="700">
        <f t="shared" ca="1" si="30"/>
        <v>118.75402683017887</v>
      </c>
      <c r="H95" s="700">
        <f t="shared" ca="1" si="30"/>
        <v>118.8155296476092</v>
      </c>
      <c r="I95" s="700">
        <f t="shared" ca="1" si="30"/>
        <v>118.84809074326006</v>
      </c>
      <c r="J95" s="700">
        <f t="shared" ca="1" si="30"/>
        <v>118.8861617293685</v>
      </c>
      <c r="K95" s="700">
        <f t="shared" ca="1" si="30"/>
        <v>118.97706619752171</v>
      </c>
      <c r="L95" s="700">
        <f t="shared" ca="1" si="30"/>
        <v>119.08452409754977</v>
      </c>
      <c r="M95" s="700">
        <f t="shared" ca="1" si="30"/>
        <v>119.11014434995423</v>
      </c>
      <c r="N95" t="s">
        <v>485</v>
      </c>
      <c r="O95" s="696">
        <f>O94+1</f>
        <v>1</v>
      </c>
      <c r="P95" s="700">
        <f ca="1">OFFSET(AI$125,($B95-1)*8,0)</f>
        <v>65.817364207907076</v>
      </c>
      <c r="Q95" s="700">
        <f t="shared" ref="Q95:Z108" ca="1" si="31">OFFSET(AJ$125,($B95-1)*8,0)</f>
        <v>65.965836786045998</v>
      </c>
      <c r="R95" s="700">
        <f t="shared" ca="1" si="31"/>
        <v>66.170883582167107</v>
      </c>
      <c r="S95" s="700">
        <f t="shared" ca="1" si="31"/>
        <v>66.468679113414055</v>
      </c>
      <c r="T95" s="700">
        <f t="shared" ca="1" si="31"/>
        <v>66.721450810285205</v>
      </c>
      <c r="U95" s="700">
        <f t="shared" ca="1" si="31"/>
        <v>67.02513418631429</v>
      </c>
      <c r="V95" s="700">
        <f t="shared" ca="1" si="31"/>
        <v>67.185915923030052</v>
      </c>
      <c r="W95" s="700">
        <f t="shared" ca="1" si="31"/>
        <v>67.373881404669874</v>
      </c>
      <c r="X95" s="700">
        <f t="shared" ca="1" si="31"/>
        <v>67.822773991002123</v>
      </c>
      <c r="Y95" s="700">
        <f t="shared" ca="1" si="31"/>
        <v>68.35339141916711</v>
      </c>
      <c r="Z95" s="700">
        <f t="shared" ca="1" si="31"/>
        <v>68.479867191316316</v>
      </c>
    </row>
    <row r="96" spans="1:26" x14ac:dyDescent="0.2">
      <c r="A96" t="s">
        <v>486</v>
      </c>
      <c r="B96" s="696">
        <f t="shared" ref="B96:B108" si="32">B95+1</f>
        <v>2</v>
      </c>
      <c r="C96" s="700">
        <f t="shared" ref="C96:C108" ca="1" si="33">OFFSET(AI$128,($B96-1)*8,0)</f>
        <v>117.7764378467042</v>
      </c>
      <c r="D96" s="700">
        <f t="shared" ca="1" si="30"/>
        <v>117.80650744527247</v>
      </c>
      <c r="E96" s="700">
        <f t="shared" ca="1" si="30"/>
        <v>117.84803293824643</v>
      </c>
      <c r="F96" s="700">
        <f t="shared" ca="1" si="30"/>
        <v>117.90834466150204</v>
      </c>
      <c r="G96" s="700">
        <f t="shared" ca="1" si="30"/>
        <v>117.95953371517385</v>
      </c>
      <c r="H96" s="700">
        <f t="shared" ca="1" si="30"/>
        <v>118.02103535515494</v>
      </c>
      <c r="I96" s="700">
        <f t="shared" ca="1" si="30"/>
        <v>118.05359713402447</v>
      </c>
      <c r="J96" s="700">
        <f t="shared" ca="1" si="30"/>
        <v>118.09166131143957</v>
      </c>
      <c r="K96" s="700">
        <f t="shared" ca="1" si="30"/>
        <v>118.18256964799298</v>
      </c>
      <c r="L96" s="700">
        <f t="shared" ca="1" si="30"/>
        <v>118.29003339722522</v>
      </c>
      <c r="M96" s="700">
        <f t="shared" ca="1" si="30"/>
        <v>118.31564681196505</v>
      </c>
      <c r="N96" t="s">
        <v>486</v>
      </c>
      <c r="O96" s="696">
        <f t="shared" ref="O96:O108" si="34">O95+1</f>
        <v>2</v>
      </c>
      <c r="P96" s="700">
        <f t="shared" ref="P96:P108" ca="1" si="35">OFFSET(AI$125,($B96-1)*8,0)</f>
        <v>69.048917284102913</v>
      </c>
      <c r="Q96" s="700">
        <f t="shared" ca="1" si="31"/>
        <v>69.197390278381818</v>
      </c>
      <c r="R96" s="700">
        <f t="shared" ca="1" si="31"/>
        <v>69.402434560667871</v>
      </c>
      <c r="S96" s="700">
        <f t="shared" ca="1" si="31"/>
        <v>69.700228430753214</v>
      </c>
      <c r="T96" s="700">
        <f t="shared" ca="1" si="31"/>
        <v>69.953003159145055</v>
      </c>
      <c r="U96" s="700">
        <f t="shared" ca="1" si="31"/>
        <v>70.256687885294014</v>
      </c>
      <c r="V96" s="700">
        <f t="shared" ca="1" si="31"/>
        <v>70.41746807618938</v>
      </c>
      <c r="W96" s="700">
        <f t="shared" ca="1" si="31"/>
        <v>70.605432852585182</v>
      </c>
      <c r="X96" s="700">
        <f t="shared" ca="1" si="31"/>
        <v>71.054326724469092</v>
      </c>
      <c r="Y96" s="700">
        <f t="shared" ca="1" si="31"/>
        <v>71.584941931753747</v>
      </c>
      <c r="Z96" s="700">
        <f t="shared" ca="1" si="31"/>
        <v>71.711415447444779</v>
      </c>
    </row>
    <row r="97" spans="1:26" x14ac:dyDescent="0.2">
      <c r="A97" t="s">
        <v>487</v>
      </c>
      <c r="B97" s="696">
        <f t="shared" si="32"/>
        <v>3</v>
      </c>
      <c r="C97" s="700">
        <f t="shared" ca="1" si="33"/>
        <v>117.79045831070835</v>
      </c>
      <c r="D97" s="700">
        <f t="shared" ca="1" si="30"/>
        <v>117.82052722057188</v>
      </c>
      <c r="E97" s="700">
        <f t="shared" ca="1" si="30"/>
        <v>117.86205270155278</v>
      </c>
      <c r="F97" s="700">
        <f t="shared" ca="1" si="30"/>
        <v>117.92236295466193</v>
      </c>
      <c r="G97" s="700">
        <f t="shared" ca="1" si="30"/>
        <v>117.97355451769226</v>
      </c>
      <c r="H97" s="700">
        <f t="shared" ca="1" si="30"/>
        <v>118.03505698816036</v>
      </c>
      <c r="I97" s="700">
        <f t="shared" ca="1" si="30"/>
        <v>118.06762110345903</v>
      </c>
      <c r="J97" s="700">
        <f t="shared" ca="1" si="30"/>
        <v>118.1056872899137</v>
      </c>
      <c r="K97" s="700">
        <f t="shared" ca="1" si="30"/>
        <v>118.19659636542178</v>
      </c>
      <c r="L97" s="700">
        <f t="shared" ca="1" si="30"/>
        <v>118.30405866739102</v>
      </c>
      <c r="M97" s="700">
        <f t="shared" ca="1" si="30"/>
        <v>118.32966904107093</v>
      </c>
      <c r="N97" t="s">
        <v>487</v>
      </c>
      <c r="O97" s="696">
        <f t="shared" si="34"/>
        <v>3</v>
      </c>
      <c r="P97" s="700">
        <f t="shared" ca="1" si="35"/>
        <v>69.118138167689494</v>
      </c>
      <c r="Q97" s="700">
        <f t="shared" ca="1" si="31"/>
        <v>69.266612303519082</v>
      </c>
      <c r="R97" s="700">
        <f t="shared" ca="1" si="31"/>
        <v>69.471657209340492</v>
      </c>
      <c r="S97" s="700">
        <f t="shared" ca="1" si="31"/>
        <v>69.769451323954172</v>
      </c>
      <c r="T97" s="700">
        <f t="shared" ca="1" si="31"/>
        <v>70.022225566089446</v>
      </c>
      <c r="U97" s="700">
        <f t="shared" ca="1" si="31"/>
        <v>70.325908394898079</v>
      </c>
      <c r="V97" s="700">
        <f t="shared" ca="1" si="31"/>
        <v>70.486690582785968</v>
      </c>
      <c r="W97" s="700">
        <f t="shared" ca="1" si="31"/>
        <v>70.674657382157875</v>
      </c>
      <c r="X97" s="700">
        <f t="shared" ca="1" si="31"/>
        <v>71.123545801493037</v>
      </c>
      <c r="Y97" s="700">
        <f t="shared" ca="1" si="31"/>
        <v>71.654162721515604</v>
      </c>
      <c r="Z97" s="700">
        <f t="shared" ca="1" si="31"/>
        <v>71.780636117664926</v>
      </c>
    </row>
    <row r="98" spans="1:26" x14ac:dyDescent="0.2">
      <c r="A98" t="s">
        <v>488</v>
      </c>
      <c r="B98" s="696">
        <f t="shared" si="32"/>
        <v>4</v>
      </c>
      <c r="C98" s="700">
        <f t="shared" ca="1" si="33"/>
        <v>117.78158439349238</v>
      </c>
      <c r="D98" s="700">
        <f t="shared" ca="1" si="30"/>
        <v>117.81165138308972</v>
      </c>
      <c r="E98" s="700">
        <f t="shared" ca="1" si="30"/>
        <v>117.85317654442474</v>
      </c>
      <c r="F98" s="700">
        <f t="shared" ca="1" si="30"/>
        <v>117.91348606781366</v>
      </c>
      <c r="G98" s="700">
        <f t="shared" ca="1" si="30"/>
        <v>117.96467722971875</v>
      </c>
      <c r="H98" s="700">
        <f t="shared" ca="1" si="30"/>
        <v>118.02618280417425</v>
      </c>
      <c r="I98" s="700">
        <f t="shared" ca="1" si="30"/>
        <v>118.05873908873002</v>
      </c>
      <c r="J98" s="700">
        <f t="shared" ca="1" si="30"/>
        <v>118.09681085567763</v>
      </c>
      <c r="K98" s="700">
        <f t="shared" ca="1" si="30"/>
        <v>118.18771768555303</v>
      </c>
      <c r="L98" s="700">
        <f t="shared" ca="1" si="30"/>
        <v>118.29518007758293</v>
      </c>
      <c r="M98" s="700">
        <f t="shared" ca="1" si="30"/>
        <v>118.32079059632406</v>
      </c>
      <c r="N98" t="s">
        <v>488</v>
      </c>
      <c r="O98" s="696">
        <f t="shared" si="34"/>
        <v>4</v>
      </c>
      <c r="P98" s="700">
        <f t="shared" ca="1" si="35"/>
        <v>69.074312580076025</v>
      </c>
      <c r="Q98" s="700">
        <f t="shared" ca="1" si="31"/>
        <v>69.222784204345771</v>
      </c>
      <c r="R98" s="700">
        <f t="shared" ca="1" si="31"/>
        <v>69.427830966782835</v>
      </c>
      <c r="S98" s="700">
        <f t="shared" ca="1" si="31"/>
        <v>69.725624646365986</v>
      </c>
      <c r="T98" s="700">
        <f t="shared" ca="1" si="31"/>
        <v>69.978398316140783</v>
      </c>
      <c r="U98" s="700">
        <f t="shared" ca="1" si="31"/>
        <v>70.2820806016191</v>
      </c>
      <c r="V98" s="700">
        <f t="shared" ca="1" si="31"/>
        <v>70.442861289765233</v>
      </c>
      <c r="W98" s="700">
        <f t="shared" ca="1" si="31"/>
        <v>70.630831443147827</v>
      </c>
      <c r="X98" s="700">
        <f t="shared" ca="1" si="31"/>
        <v>71.079720151535184</v>
      </c>
      <c r="Y98" s="700">
        <f t="shared" ca="1" si="31"/>
        <v>71.610334625389214</v>
      </c>
      <c r="Z98" s="700">
        <f t="shared" ca="1" si="31"/>
        <v>71.736813579937916</v>
      </c>
    </row>
    <row r="99" spans="1:26" x14ac:dyDescent="0.2">
      <c r="A99" t="s">
        <v>489</v>
      </c>
      <c r="B99" s="696">
        <f t="shared" si="32"/>
        <v>5</v>
      </c>
      <c r="C99" s="700">
        <f t="shared" ca="1" si="33"/>
        <v>117.80957122078757</v>
      </c>
      <c r="D99" s="700">
        <f t="shared" ca="1" si="30"/>
        <v>117.83963967956083</v>
      </c>
      <c r="E99" s="700">
        <f t="shared" ca="1" si="30"/>
        <v>117.88116747852109</v>
      </c>
      <c r="F99" s="700">
        <f t="shared" ca="1" si="30"/>
        <v>117.94147646642932</v>
      </c>
      <c r="G99" s="700">
        <f t="shared" ca="1" si="30"/>
        <v>117.99266887332885</v>
      </c>
      <c r="H99" s="700">
        <f t="shared" ca="1" si="30"/>
        <v>118.05416864397887</v>
      </c>
      <c r="I99" s="700">
        <f t="shared" ca="1" si="30"/>
        <v>118.08673290581009</v>
      </c>
      <c r="J99" s="700">
        <f t="shared" ca="1" si="30"/>
        <v>118.12480193252645</v>
      </c>
      <c r="K99" s="700">
        <f t="shared" ca="1" si="30"/>
        <v>118.21570526106871</v>
      </c>
      <c r="L99" s="700">
        <f t="shared" ca="1" si="30"/>
        <v>118.32316377860934</v>
      </c>
      <c r="M99" s="700">
        <f t="shared" ca="1" si="30"/>
        <v>118.34878235786346</v>
      </c>
      <c r="N99" t="s">
        <v>489</v>
      </c>
      <c r="O99" s="696">
        <f t="shared" si="34"/>
        <v>5</v>
      </c>
      <c r="P99" s="700">
        <f t="shared" ca="1" si="35"/>
        <v>69.212523858046779</v>
      </c>
      <c r="Q99" s="700">
        <f t="shared" ca="1" si="31"/>
        <v>69.360995431440188</v>
      </c>
      <c r="R99" s="700">
        <f t="shared" ca="1" si="31"/>
        <v>69.566039701733189</v>
      </c>
      <c r="S99" s="700">
        <f t="shared" ca="1" si="31"/>
        <v>69.863836730724643</v>
      </c>
      <c r="T99" s="700">
        <f t="shared" ca="1" si="31"/>
        <v>70.116607415654471</v>
      </c>
      <c r="U99" s="700">
        <f t="shared" ca="1" si="31"/>
        <v>70.420291716821339</v>
      </c>
      <c r="V99" s="700">
        <f t="shared" ca="1" si="31"/>
        <v>70.581071302618284</v>
      </c>
      <c r="W99" s="700">
        <f t="shared" ca="1" si="31"/>
        <v>70.769039943967982</v>
      </c>
      <c r="X99" s="700">
        <f t="shared" ca="1" si="31"/>
        <v>71.217931009165341</v>
      </c>
      <c r="Y99" s="700">
        <f t="shared" ca="1" si="31"/>
        <v>71.748546430743318</v>
      </c>
      <c r="Z99" s="700">
        <f t="shared" ca="1" si="31"/>
        <v>71.875019011105223</v>
      </c>
    </row>
    <row r="100" spans="1:26" x14ac:dyDescent="0.2">
      <c r="A100" t="s">
        <v>490</v>
      </c>
      <c r="B100" s="696">
        <f t="shared" si="32"/>
        <v>6</v>
      </c>
      <c r="C100" s="700">
        <f t="shared" ca="1" si="33"/>
        <v>117.76521599908699</v>
      </c>
      <c r="D100" s="700">
        <f t="shared" ca="1" si="30"/>
        <v>117.79528242575418</v>
      </c>
      <c r="E100" s="700">
        <f t="shared" ca="1" si="30"/>
        <v>117.83680778917392</v>
      </c>
      <c r="F100" s="700">
        <f t="shared" ca="1" si="30"/>
        <v>117.89711844414421</v>
      </c>
      <c r="G100" s="700">
        <f t="shared" ca="1" si="30"/>
        <v>117.94830907786206</v>
      </c>
      <c r="H100" s="700">
        <f t="shared" ca="1" si="30"/>
        <v>118.00981368673968</v>
      </c>
      <c r="I100" s="700">
        <f t="shared" ca="1" si="30"/>
        <v>118.04237060024877</v>
      </c>
      <c r="J100" s="700">
        <f t="shared" ca="1" si="30"/>
        <v>118.080441654271</v>
      </c>
      <c r="K100" s="700">
        <f t="shared" ca="1" si="30"/>
        <v>118.1713487139159</v>
      </c>
      <c r="L100" s="700">
        <f t="shared" ca="1" si="30"/>
        <v>118.27881100444279</v>
      </c>
      <c r="M100" s="700">
        <f t="shared" ca="1" si="30"/>
        <v>118.30441945767257</v>
      </c>
      <c r="N100" t="s">
        <v>490</v>
      </c>
      <c r="O100" s="696">
        <f t="shared" si="34"/>
        <v>6</v>
      </c>
      <c r="P100" s="700">
        <f t="shared" ca="1" si="35"/>
        <v>68.993487084205526</v>
      </c>
      <c r="Q100" s="700">
        <f t="shared" ca="1" si="31"/>
        <v>69.141959471966175</v>
      </c>
      <c r="R100" s="700">
        <f t="shared" ca="1" si="31"/>
        <v>69.347004860245306</v>
      </c>
      <c r="S100" s="700">
        <f t="shared" ca="1" si="31"/>
        <v>69.644799760812589</v>
      </c>
      <c r="T100" s="700">
        <f t="shared" ca="1" si="31"/>
        <v>69.897572527892862</v>
      </c>
      <c r="U100" s="700">
        <f t="shared" ca="1" si="31"/>
        <v>70.201255693725898</v>
      </c>
      <c r="V100" s="700">
        <f t="shared" ca="1" si="31"/>
        <v>70.362036091420123</v>
      </c>
      <c r="W100" s="700">
        <f t="shared" ca="1" si="31"/>
        <v>70.550005611620918</v>
      </c>
      <c r="X100" s="700">
        <f t="shared" ca="1" si="31"/>
        <v>70.998894258240398</v>
      </c>
      <c r="Y100" s="700">
        <f t="shared" ca="1" si="31"/>
        <v>71.529509532893599</v>
      </c>
      <c r="Z100" s="700">
        <f t="shared" ca="1" si="31"/>
        <v>71.655984301151875</v>
      </c>
    </row>
    <row r="101" spans="1:26" x14ac:dyDescent="0.2">
      <c r="A101" t="s">
        <v>491</v>
      </c>
      <c r="B101" s="696">
        <f t="shared" si="32"/>
        <v>7</v>
      </c>
      <c r="C101" s="700">
        <f t="shared" ca="1" si="33"/>
        <v>117.81109656629235</v>
      </c>
      <c r="D101" s="700">
        <f t="shared" ca="1" si="30"/>
        <v>117.84116283779485</v>
      </c>
      <c r="E101" s="700">
        <f t="shared" ca="1" si="30"/>
        <v>117.88269136951965</v>
      </c>
      <c r="F101" s="700">
        <f t="shared" ca="1" si="30"/>
        <v>117.94299930215675</v>
      </c>
      <c r="G101" s="700">
        <f t="shared" ca="1" si="30"/>
        <v>117.99419033127936</v>
      </c>
      <c r="H101" s="700">
        <f t="shared" ca="1" si="30"/>
        <v>118.0556903324341</v>
      </c>
      <c r="I101" s="700">
        <f t="shared" ca="1" si="30"/>
        <v>118.08825718187541</v>
      </c>
      <c r="J101" s="700">
        <f t="shared" ca="1" si="30"/>
        <v>118.12632201427346</v>
      </c>
      <c r="K101" s="700">
        <f t="shared" ca="1" si="30"/>
        <v>118.21723001346663</v>
      </c>
      <c r="L101" s="700">
        <f t="shared" ca="1" si="30"/>
        <v>118.32469139341651</v>
      </c>
      <c r="M101" s="700">
        <f t="shared" ca="1" si="30"/>
        <v>118.35030823381317</v>
      </c>
      <c r="N101" t="s">
        <v>491</v>
      </c>
      <c r="O101" s="696">
        <f t="shared" si="34"/>
        <v>7</v>
      </c>
      <c r="P101" s="700">
        <f t="shared" ca="1" si="35"/>
        <v>69.220042175810249</v>
      </c>
      <c r="Q101" s="700">
        <f t="shared" ca="1" si="31"/>
        <v>69.368514240535887</v>
      </c>
      <c r="R101" s="700">
        <f t="shared" ca="1" si="31"/>
        <v>69.573556744517759</v>
      </c>
      <c r="S101" s="700">
        <f t="shared" ca="1" si="31"/>
        <v>69.871354204844465</v>
      </c>
      <c r="T101" s="700">
        <f t="shared" ca="1" si="31"/>
        <v>70.124125817505501</v>
      </c>
      <c r="U101" s="700">
        <f t="shared" ca="1" si="31"/>
        <v>70.42780923761643</v>
      </c>
      <c r="V101" s="700">
        <f t="shared" ca="1" si="31"/>
        <v>70.588592166428953</v>
      </c>
      <c r="W101" s="700">
        <f t="shared" ca="1" si="31"/>
        <v>70.77655721398537</v>
      </c>
      <c r="X101" s="700">
        <f t="shared" ca="1" si="31"/>
        <v>71.225449591625193</v>
      </c>
      <c r="Y101" s="700">
        <f t="shared" ca="1" si="31"/>
        <v>71.756067526533343</v>
      </c>
      <c r="Z101" s="700">
        <f t="shared" ca="1" si="31"/>
        <v>71.882535287527162</v>
      </c>
    </row>
    <row r="102" spans="1:26" x14ac:dyDescent="0.2">
      <c r="A102" t="s">
        <v>492</v>
      </c>
      <c r="B102" s="696">
        <f t="shared" si="32"/>
        <v>8</v>
      </c>
      <c r="C102" s="700">
        <f t="shared" ca="1" si="33"/>
        <v>117.79597286553678</v>
      </c>
      <c r="D102" s="700">
        <f t="shared" ca="1" si="30"/>
        <v>117.82604096134025</v>
      </c>
      <c r="E102" s="700">
        <f t="shared" ca="1" si="30"/>
        <v>117.86756537311612</v>
      </c>
      <c r="F102" s="700">
        <f t="shared" ca="1" si="30"/>
        <v>117.92787493655032</v>
      </c>
      <c r="G102" s="700">
        <f t="shared" ca="1" si="30"/>
        <v>117.97906548020717</v>
      </c>
      <c r="H102" s="700">
        <f t="shared" ca="1" si="30"/>
        <v>118.04057176795675</v>
      </c>
      <c r="I102" s="700">
        <f t="shared" ca="1" si="30"/>
        <v>118.07312750679512</v>
      </c>
      <c r="J102" s="700">
        <f t="shared" ca="1" si="30"/>
        <v>118.11120173308586</v>
      </c>
      <c r="K102" s="700">
        <f t="shared" ca="1" si="30"/>
        <v>118.20210358927466</v>
      </c>
      <c r="L102" s="700">
        <f t="shared" ca="1" si="30"/>
        <v>118.30956598056878</v>
      </c>
      <c r="M102" s="700">
        <f t="shared" ca="1" si="30"/>
        <v>118.33518160882386</v>
      </c>
      <c r="N102" t="s">
        <v>492</v>
      </c>
      <c r="O102" s="696">
        <f t="shared" si="34"/>
        <v>8</v>
      </c>
      <c r="P102" s="700">
        <f t="shared" ca="1" si="35"/>
        <v>69.145360356467108</v>
      </c>
      <c r="Q102" s="700">
        <f t="shared" ca="1" si="31"/>
        <v>69.293833536152192</v>
      </c>
      <c r="R102" s="700">
        <f t="shared" ca="1" si="31"/>
        <v>69.498879417935427</v>
      </c>
      <c r="S102" s="700">
        <f t="shared" ca="1" si="31"/>
        <v>69.796672720055767</v>
      </c>
      <c r="T102" s="700">
        <f t="shared" ca="1" si="31"/>
        <v>70.049445599429873</v>
      </c>
      <c r="U102" s="700">
        <f t="shared" ca="1" si="31"/>
        <v>70.353129123783901</v>
      </c>
      <c r="V102" s="700">
        <f t="shared" ca="1" si="31"/>
        <v>70.513910239116058</v>
      </c>
      <c r="W102" s="700">
        <f t="shared" ca="1" si="31"/>
        <v>70.701878963419176</v>
      </c>
      <c r="X102" s="700">
        <f t="shared" ca="1" si="31"/>
        <v>71.150769010931299</v>
      </c>
      <c r="Y102" s="700">
        <f t="shared" ca="1" si="31"/>
        <v>71.681385260691513</v>
      </c>
      <c r="Z102" s="700">
        <f t="shared" ca="1" si="31"/>
        <v>71.807860814554033</v>
      </c>
    </row>
    <row r="103" spans="1:26" x14ac:dyDescent="0.2">
      <c r="A103" t="s">
        <v>493</v>
      </c>
      <c r="B103" s="696">
        <f t="shared" si="32"/>
        <v>9</v>
      </c>
      <c r="C103" s="700">
        <f t="shared" ca="1" si="33"/>
        <v>117.76103691826677</v>
      </c>
      <c r="D103" s="700">
        <f t="shared" ca="1" si="30"/>
        <v>117.79110347698054</v>
      </c>
      <c r="E103" s="700">
        <f t="shared" ca="1" si="30"/>
        <v>117.83263184325392</v>
      </c>
      <c r="F103" s="700">
        <f t="shared" ca="1" si="30"/>
        <v>117.89294097963523</v>
      </c>
      <c r="G103" s="700">
        <f t="shared" ca="1" si="30"/>
        <v>117.94413235073489</v>
      </c>
      <c r="H103" s="700">
        <f t="shared" ca="1" si="30"/>
        <v>118.00563495702988</v>
      </c>
      <c r="I103" s="700">
        <f t="shared" ca="1" si="30"/>
        <v>118.03819695496236</v>
      </c>
      <c r="J103" s="700">
        <f t="shared" ca="1" si="30"/>
        <v>118.0762621597803</v>
      </c>
      <c r="K103" s="700">
        <f t="shared" ca="1" si="30"/>
        <v>118.16717766306283</v>
      </c>
      <c r="L103" s="700">
        <f t="shared" ca="1" si="30"/>
        <v>118.27463703544458</v>
      </c>
      <c r="M103" s="700">
        <f t="shared" ca="1" si="30"/>
        <v>118.3002436582849</v>
      </c>
      <c r="N103" t="s">
        <v>493</v>
      </c>
      <c r="O103" s="696">
        <f t="shared" si="34"/>
        <v>9</v>
      </c>
      <c r="P103" s="700">
        <f t="shared" ca="1" si="35"/>
        <v>68.972858729911763</v>
      </c>
      <c r="Q103" s="700">
        <f t="shared" ca="1" si="31"/>
        <v>69.121331522642208</v>
      </c>
      <c r="R103" s="700">
        <f t="shared" ca="1" si="31"/>
        <v>69.326376648150585</v>
      </c>
      <c r="S103" s="700">
        <f t="shared" ca="1" si="31"/>
        <v>69.624168104104797</v>
      </c>
      <c r="T103" s="700">
        <f t="shared" ca="1" si="31"/>
        <v>69.876942501462736</v>
      </c>
      <c r="U103" s="700">
        <f t="shared" ca="1" si="31"/>
        <v>70.1806286355054</v>
      </c>
      <c r="V103" s="700">
        <f t="shared" ca="1" si="31"/>
        <v>70.341409169725921</v>
      </c>
      <c r="W103" s="700">
        <f t="shared" ca="1" si="31"/>
        <v>70.529377258851127</v>
      </c>
      <c r="X103" s="700">
        <f t="shared" ca="1" si="31"/>
        <v>70.97826355205666</v>
      </c>
      <c r="Y103" s="700">
        <f t="shared" ca="1" si="31"/>
        <v>71.508881823599495</v>
      </c>
      <c r="Z103" s="700">
        <f t="shared" ca="1" si="31"/>
        <v>71.635353926002381</v>
      </c>
    </row>
    <row r="104" spans="1:26" x14ac:dyDescent="0.2">
      <c r="A104" t="s">
        <v>494</v>
      </c>
      <c r="B104" s="696">
        <f t="shared" si="32"/>
        <v>10</v>
      </c>
      <c r="C104" s="700">
        <f t="shared" ca="1" si="33"/>
        <v>117.74474290780074</v>
      </c>
      <c r="D104" s="700">
        <f t="shared" ca="1" si="30"/>
        <v>117.77481143430396</v>
      </c>
      <c r="E104" s="700">
        <f t="shared" ca="1" si="30"/>
        <v>117.81633799897531</v>
      </c>
      <c r="F104" s="700">
        <f t="shared" ca="1" si="30"/>
        <v>117.87664601448103</v>
      </c>
      <c r="G104" s="700">
        <f t="shared" ca="1" si="30"/>
        <v>117.92783862170859</v>
      </c>
      <c r="H104" s="700">
        <f t="shared" ca="1" si="30"/>
        <v>117.9893371912907</v>
      </c>
      <c r="I104" s="700">
        <f t="shared" ca="1" si="30"/>
        <v>118.02190217140105</v>
      </c>
      <c r="J104" s="700">
        <f t="shared" ca="1" si="30"/>
        <v>118.05996889527705</v>
      </c>
      <c r="K104" s="700">
        <f t="shared" ca="1" si="30"/>
        <v>118.15087409462194</v>
      </c>
      <c r="L104" s="700">
        <f t="shared" ca="1" si="30"/>
        <v>118.25833091759978</v>
      </c>
      <c r="M104" s="700">
        <f t="shared" ca="1" si="30"/>
        <v>118.28394946326466</v>
      </c>
      <c r="N104" t="s">
        <v>494</v>
      </c>
      <c r="O104" s="696">
        <f t="shared" si="34"/>
        <v>10</v>
      </c>
      <c r="P104" s="700">
        <f t="shared" ca="1" si="35"/>
        <v>68.892404492573405</v>
      </c>
      <c r="Q104" s="700">
        <f t="shared" ca="1" si="31"/>
        <v>69.040876442153376</v>
      </c>
      <c r="R104" s="700">
        <f t="shared" ca="1" si="31"/>
        <v>69.245919792559789</v>
      </c>
      <c r="S104" s="700">
        <f t="shared" ca="1" si="31"/>
        <v>69.543717244238337</v>
      </c>
      <c r="T104" s="700">
        <f t="shared" ca="1" si="31"/>
        <v>69.796487791487834</v>
      </c>
      <c r="U104" s="700">
        <f t="shared" ca="1" si="31"/>
        <v>70.100173650169836</v>
      </c>
      <c r="V104" s="700">
        <f t="shared" ca="1" si="31"/>
        <v>70.260954233763414</v>
      </c>
      <c r="W104" s="700">
        <f t="shared" ca="1" si="31"/>
        <v>70.448920378767752</v>
      </c>
      <c r="X104" s="700">
        <f t="shared" ca="1" si="31"/>
        <v>70.897810635076439</v>
      </c>
      <c r="Y104" s="700">
        <f t="shared" ca="1" si="31"/>
        <v>71.428431153482961</v>
      </c>
      <c r="Z104" s="700">
        <f t="shared" ca="1" si="31"/>
        <v>71.554902714759237</v>
      </c>
    </row>
    <row r="105" spans="1:26" x14ac:dyDescent="0.2">
      <c r="A105" t="s">
        <v>495</v>
      </c>
      <c r="B105" s="696">
        <f t="shared" si="32"/>
        <v>11</v>
      </c>
      <c r="C105" s="700">
        <f t="shared" ca="1" si="33"/>
        <v>117.78153664785634</v>
      </c>
      <c r="D105" s="700">
        <f t="shared" ca="1" si="30"/>
        <v>117.81160497914948</v>
      </c>
      <c r="E105" s="700">
        <f t="shared" ca="1" si="30"/>
        <v>117.85313149934257</v>
      </c>
      <c r="F105" s="700">
        <f t="shared" ca="1" si="30"/>
        <v>117.91344107274665</v>
      </c>
      <c r="G105" s="700">
        <f t="shared" ca="1" si="30"/>
        <v>117.9646309290373</v>
      </c>
      <c r="H105" s="700">
        <f t="shared" ca="1" si="30"/>
        <v>118.02613522454169</v>
      </c>
      <c r="I105" s="700">
        <f t="shared" ca="1" si="30"/>
        <v>118.05869056566655</v>
      </c>
      <c r="J105" s="700">
        <f t="shared" ca="1" si="30"/>
        <v>118.09675853600902</v>
      </c>
      <c r="K105" s="700">
        <f t="shared" ca="1" si="30"/>
        <v>118.18766558862603</v>
      </c>
      <c r="L105" s="700">
        <f t="shared" ca="1" si="30"/>
        <v>118.29512497097767</v>
      </c>
      <c r="M105" s="700">
        <f t="shared" ca="1" si="30"/>
        <v>118.32074304492767</v>
      </c>
      <c r="N105" t="s">
        <v>495</v>
      </c>
      <c r="O105" s="696">
        <f t="shared" si="34"/>
        <v>11</v>
      </c>
      <c r="P105" s="700">
        <f t="shared" ca="1" si="35"/>
        <v>69.074086061242724</v>
      </c>
      <c r="Q105" s="700">
        <f t="shared" ca="1" si="31"/>
        <v>69.222559985177782</v>
      </c>
      <c r="R105" s="700">
        <f t="shared" ca="1" si="31"/>
        <v>69.427603775864782</v>
      </c>
      <c r="S105" s="700">
        <f t="shared" ca="1" si="31"/>
        <v>69.72539764584667</v>
      </c>
      <c r="T105" s="700">
        <f t="shared" ca="1" si="31"/>
        <v>69.978170026075531</v>
      </c>
      <c r="U105" s="700">
        <f t="shared" ca="1" si="31"/>
        <v>70.281855918935207</v>
      </c>
      <c r="V105" s="700">
        <f t="shared" ca="1" si="31"/>
        <v>70.442638579285358</v>
      </c>
      <c r="W105" s="700">
        <f t="shared" ca="1" si="31"/>
        <v>70.630602679921139</v>
      </c>
      <c r="X105" s="700">
        <f t="shared" ca="1" si="31"/>
        <v>71.079491935735632</v>
      </c>
      <c r="Y105" s="700">
        <f t="shared" ca="1" si="31"/>
        <v>71.610111326509923</v>
      </c>
      <c r="Z105" s="700">
        <f t="shared" ca="1" si="31"/>
        <v>71.736585784323552</v>
      </c>
    </row>
    <row r="106" spans="1:26" x14ac:dyDescent="0.2">
      <c r="A106" t="s">
        <v>496</v>
      </c>
      <c r="B106" s="696">
        <f t="shared" si="32"/>
        <v>12</v>
      </c>
      <c r="C106" s="700">
        <f t="shared" ca="1" si="33"/>
        <v>117.79670985749794</v>
      </c>
      <c r="D106" s="700">
        <f t="shared" ca="1" si="30"/>
        <v>117.82677913166981</v>
      </c>
      <c r="E106" s="700">
        <f t="shared" ca="1" si="30"/>
        <v>117.8683029800967</v>
      </c>
      <c r="F106" s="700">
        <f t="shared" ca="1" si="30"/>
        <v>117.92861230158462</v>
      </c>
      <c r="G106" s="700">
        <f t="shared" ca="1" si="30"/>
        <v>117.97980369252309</v>
      </c>
      <c r="H106" s="700">
        <f t="shared" ca="1" si="30"/>
        <v>118.04130752775347</v>
      </c>
      <c r="I106" s="700">
        <f t="shared" ca="1" si="30"/>
        <v>118.07386623585626</v>
      </c>
      <c r="J106" s="700">
        <f t="shared" ca="1" si="30"/>
        <v>118.11193785165437</v>
      </c>
      <c r="K106" s="700">
        <f t="shared" ca="1" si="30"/>
        <v>118.20284008414455</v>
      </c>
      <c r="L106" s="700">
        <f t="shared" ca="1" si="30"/>
        <v>118.31030230749411</v>
      </c>
      <c r="M106" s="700">
        <f t="shared" ca="1" si="30"/>
        <v>118.33592055085933</v>
      </c>
      <c r="N106" t="s">
        <v>496</v>
      </c>
      <c r="O106" s="696">
        <f t="shared" si="34"/>
        <v>12</v>
      </c>
      <c r="P106" s="700">
        <f t="shared" ca="1" si="35"/>
        <v>69.149005045795548</v>
      </c>
      <c r="Q106" s="700">
        <f t="shared" ca="1" si="31"/>
        <v>69.297476240882247</v>
      </c>
      <c r="R106" s="700">
        <f t="shared" ca="1" si="31"/>
        <v>69.502522535006619</v>
      </c>
      <c r="S106" s="700">
        <f t="shared" ca="1" si="31"/>
        <v>69.800317639469085</v>
      </c>
      <c r="T106" s="700">
        <f t="shared" ca="1" si="31"/>
        <v>70.053090026142172</v>
      </c>
      <c r="U106" s="700">
        <f t="shared" ca="1" si="31"/>
        <v>70.356773608866888</v>
      </c>
      <c r="V106" s="700">
        <f t="shared" ca="1" si="31"/>
        <v>70.517554579971147</v>
      </c>
      <c r="W106" s="700">
        <f t="shared" ca="1" si="31"/>
        <v>70.705522057204234</v>
      </c>
      <c r="X106" s="700">
        <f t="shared" ca="1" si="31"/>
        <v>71.154415157176345</v>
      </c>
      <c r="Y106" s="700">
        <f t="shared" ca="1" si="31"/>
        <v>71.685028804248304</v>
      </c>
      <c r="Z106" s="700">
        <f t="shared" ca="1" si="31"/>
        <v>71.811503624680199</v>
      </c>
    </row>
    <row r="107" spans="1:26" x14ac:dyDescent="0.2">
      <c r="A107" t="s">
        <v>497</v>
      </c>
      <c r="B107" s="696">
        <f t="shared" si="32"/>
        <v>13</v>
      </c>
      <c r="C107" s="700">
        <f t="shared" ca="1" si="33"/>
        <v>117.79213645059588</v>
      </c>
      <c r="D107" s="700">
        <f t="shared" ca="1" si="30"/>
        <v>117.82220650505531</v>
      </c>
      <c r="E107" s="700">
        <f t="shared" ca="1" si="30"/>
        <v>117.86372969093975</v>
      </c>
      <c r="F107" s="700">
        <f t="shared" ca="1" si="30"/>
        <v>117.92403831057538</v>
      </c>
      <c r="G107" s="700">
        <f t="shared" ca="1" si="30"/>
        <v>117.97523111702753</v>
      </c>
      <c r="H107" s="700">
        <f t="shared" ca="1" si="30"/>
        <v>118.03673315545768</v>
      </c>
      <c r="I107" s="700">
        <f t="shared" ca="1" si="30"/>
        <v>118.06929122316524</v>
      </c>
      <c r="J107" s="700">
        <f t="shared" ca="1" si="30"/>
        <v>118.10736441670042</v>
      </c>
      <c r="K107" s="700">
        <f t="shared" ca="1" si="30"/>
        <v>118.19826583623376</v>
      </c>
      <c r="L107" s="700">
        <f t="shared" ca="1" si="30"/>
        <v>118.3057262399002</v>
      </c>
      <c r="M107" s="700">
        <f t="shared" ca="1" si="30"/>
        <v>118.33134290017506</v>
      </c>
      <c r="N107" t="s">
        <v>497</v>
      </c>
      <c r="O107" s="696">
        <f t="shared" si="34"/>
        <v>13</v>
      </c>
      <c r="P107" s="700">
        <f t="shared" ca="1" si="35"/>
        <v>69.126421064231408</v>
      </c>
      <c r="Q107" s="700">
        <f t="shared" ca="1" si="31"/>
        <v>69.274894785094489</v>
      </c>
      <c r="R107" s="700">
        <f t="shared" ca="1" si="31"/>
        <v>69.479939945090678</v>
      </c>
      <c r="S107" s="700">
        <f t="shared" ca="1" si="31"/>
        <v>69.777734971592054</v>
      </c>
      <c r="T107" s="700">
        <f t="shared" ca="1" si="31"/>
        <v>70.030509159557369</v>
      </c>
      <c r="U107" s="700">
        <f t="shared" ca="1" si="31"/>
        <v>70.33419413697743</v>
      </c>
      <c r="V107" s="700">
        <f t="shared" ca="1" si="31"/>
        <v>70.494974001738456</v>
      </c>
      <c r="W107" s="700">
        <f t="shared" ca="1" si="31"/>
        <v>70.682939775231034</v>
      </c>
      <c r="X107" s="700">
        <f t="shared" ca="1" si="31"/>
        <v>71.131830977162281</v>
      </c>
      <c r="Y107" s="700">
        <f t="shared" ca="1" si="31"/>
        <v>71.662450520461789</v>
      </c>
      <c r="Z107" s="700">
        <f t="shared" ca="1" si="31"/>
        <v>71.788924351991909</v>
      </c>
    </row>
    <row r="108" spans="1:26" x14ac:dyDescent="0.2">
      <c r="A108" t="s">
        <v>498</v>
      </c>
      <c r="B108" s="696">
        <f t="shared" si="32"/>
        <v>14</v>
      </c>
      <c r="C108" s="700">
        <f t="shared" ca="1" si="33"/>
        <v>117.80220010954554</v>
      </c>
      <c r="D108" s="700">
        <f t="shared" ca="1" si="30"/>
        <v>117.83226934763616</v>
      </c>
      <c r="E108" s="700">
        <f t="shared" ca="1" si="30"/>
        <v>117.87379446163209</v>
      </c>
      <c r="F108" s="700">
        <f t="shared" ca="1" si="30"/>
        <v>117.93410460751818</v>
      </c>
      <c r="G108" s="700">
        <f t="shared" ca="1" si="30"/>
        <v>117.9852936417193</v>
      </c>
      <c r="H108" s="700">
        <f t="shared" ca="1" si="30"/>
        <v>118.04679767921857</v>
      </c>
      <c r="I108" s="700">
        <f t="shared" ca="1" si="30"/>
        <v>118.07935611861046</v>
      </c>
      <c r="J108" s="700">
        <f t="shared" ca="1" si="30"/>
        <v>118.11742283713374</v>
      </c>
      <c r="K108" s="700">
        <f t="shared" ca="1" si="30"/>
        <v>118.20832819371708</v>
      </c>
      <c r="L108" s="700">
        <f t="shared" ca="1" si="30"/>
        <v>118.31578822790561</v>
      </c>
      <c r="M108" s="700">
        <f t="shared" ca="1" si="30"/>
        <v>118.34140648197672</v>
      </c>
      <c r="N108" t="s">
        <v>498</v>
      </c>
      <c r="O108" s="696">
        <f t="shared" si="34"/>
        <v>14</v>
      </c>
      <c r="P108" s="700">
        <f t="shared" ca="1" si="35"/>
        <v>69.176117963303909</v>
      </c>
      <c r="Q108" s="700">
        <f t="shared" ca="1" si="31"/>
        <v>69.32459149940928</v>
      </c>
      <c r="R108" s="700">
        <f t="shared" ca="1" si="31"/>
        <v>69.52963569424287</v>
      </c>
      <c r="S108" s="700">
        <f t="shared" ca="1" si="31"/>
        <v>69.827428611055666</v>
      </c>
      <c r="T108" s="700">
        <f t="shared" ca="1" si="31"/>
        <v>70.080201841106373</v>
      </c>
      <c r="U108" s="700">
        <f t="shared" ca="1" si="31"/>
        <v>70.383887293088492</v>
      </c>
      <c r="V108" s="700">
        <f t="shared" ca="1" si="31"/>
        <v>70.544669506362652</v>
      </c>
      <c r="W108" s="700">
        <f t="shared" ca="1" si="31"/>
        <v>70.732634782006926</v>
      </c>
      <c r="X108" s="700">
        <f t="shared" ca="1" si="31"/>
        <v>71.181524488293917</v>
      </c>
      <c r="Y108" s="700">
        <f t="shared" ca="1" si="31"/>
        <v>71.712140672085525</v>
      </c>
      <c r="Z108" s="700">
        <f t="shared" ca="1" si="31"/>
        <v>71.838616467624206</v>
      </c>
    </row>
    <row r="113" spans="1:45" ht="15.75" x14ac:dyDescent="0.25">
      <c r="A113" s="701" t="s">
        <v>499</v>
      </c>
      <c r="O113" s="702" t="s">
        <v>499</v>
      </c>
      <c r="AE113" s="701"/>
      <c r="AF113" s="701"/>
    </row>
    <row r="114" spans="1:45" x14ac:dyDescent="0.2">
      <c r="A114" s="1"/>
    </row>
    <row r="115" spans="1:45" ht="28.5" x14ac:dyDescent="0.45">
      <c r="A115" s="703" t="s">
        <v>500</v>
      </c>
      <c r="B115" s="704"/>
      <c r="C115" s="704"/>
      <c r="D115" s="704"/>
      <c r="E115" s="704"/>
      <c r="F115" s="704"/>
      <c r="O115" s="704"/>
      <c r="P115" s="704"/>
      <c r="Q115" s="705" t="s">
        <v>501</v>
      </c>
      <c r="R115" s="704"/>
      <c r="S115" s="704"/>
      <c r="T115" s="704"/>
      <c r="U115" s="704"/>
      <c r="V115" s="704"/>
      <c r="W115" s="704"/>
      <c r="X115" s="704"/>
      <c r="Y115" s="704"/>
      <c r="Z115" s="704"/>
      <c r="AA115" s="704"/>
      <c r="AB115" s="704"/>
      <c r="AC115" s="704"/>
      <c r="AG115" s="706" t="s">
        <v>502</v>
      </c>
    </row>
    <row r="116" spans="1:45" x14ac:dyDescent="0.2">
      <c r="A116" s="707"/>
      <c r="B116" s="704"/>
      <c r="C116" s="704"/>
      <c r="D116" s="704"/>
      <c r="E116" s="704"/>
      <c r="F116" s="704"/>
      <c r="O116" s="704"/>
      <c r="P116" s="704"/>
      <c r="Q116" s="704"/>
      <c r="R116" s="704"/>
      <c r="S116" s="708" t="s">
        <v>503</v>
      </c>
      <c r="T116" s="704"/>
      <c r="U116" s="704"/>
      <c r="V116" s="704"/>
      <c r="W116" s="704"/>
      <c r="X116" s="704"/>
      <c r="Y116" s="704"/>
      <c r="Z116" s="704"/>
      <c r="AA116" s="704"/>
      <c r="AB116" s="704"/>
      <c r="AC116" s="704"/>
      <c r="AI116" s="664" t="s">
        <v>503</v>
      </c>
    </row>
    <row r="117" spans="1:45" ht="15.75" x14ac:dyDescent="0.25">
      <c r="A117" s="708" t="s">
        <v>504</v>
      </c>
      <c r="B117" s="709"/>
      <c r="C117" s="709"/>
      <c r="D117" s="709"/>
      <c r="E117" s="709"/>
      <c r="F117" s="710"/>
      <c r="O117" s="704"/>
      <c r="P117" s="704"/>
      <c r="Q117" s="704"/>
      <c r="R117" s="704"/>
      <c r="S117" s="704"/>
      <c r="T117" s="704"/>
      <c r="U117" s="711" t="s">
        <v>505</v>
      </c>
      <c r="V117" s="704"/>
      <c r="W117" s="704"/>
      <c r="X117" s="704"/>
      <c r="Y117" s="704"/>
      <c r="Z117" s="704"/>
      <c r="AA117" s="704"/>
      <c r="AB117" s="704"/>
      <c r="AC117" s="704"/>
      <c r="AK117" s="712" t="s">
        <v>505</v>
      </c>
    </row>
    <row r="118" spans="1:45" x14ac:dyDescent="0.2">
      <c r="A118" s="713"/>
      <c r="B118" s="713"/>
      <c r="C118" s="713"/>
      <c r="D118" s="713"/>
      <c r="E118" s="713"/>
      <c r="F118" s="713"/>
      <c r="O118" s="704"/>
      <c r="P118" s="704"/>
      <c r="Q118" s="704"/>
      <c r="R118" s="704"/>
      <c r="S118" s="714"/>
      <c r="T118" s="704"/>
      <c r="U118" s="704"/>
      <c r="V118" s="704"/>
      <c r="W118" s="704"/>
      <c r="X118" s="704"/>
      <c r="Y118" s="704"/>
      <c r="Z118" s="704"/>
      <c r="AA118" s="704"/>
      <c r="AB118" s="704"/>
      <c r="AC118" s="704"/>
    </row>
    <row r="119" spans="1:45" ht="14.25" x14ac:dyDescent="0.2">
      <c r="A119" s="715" t="s">
        <v>506</v>
      </c>
      <c r="B119" s="715" t="s">
        <v>506</v>
      </c>
      <c r="C119" s="716" t="s">
        <v>507</v>
      </c>
      <c r="D119" s="716" t="s">
        <v>508</v>
      </c>
      <c r="E119" s="716" t="s">
        <v>509</v>
      </c>
      <c r="F119" s="716" t="s">
        <v>510</v>
      </c>
      <c r="O119" s="704"/>
      <c r="P119" s="717"/>
      <c r="Q119" s="717"/>
      <c r="R119" s="717"/>
      <c r="S119" s="718" t="s">
        <v>511</v>
      </c>
      <c r="T119" s="717"/>
      <c r="U119" s="717"/>
      <c r="V119" s="717"/>
      <c r="W119" s="717"/>
      <c r="X119" s="717"/>
      <c r="Y119" s="717"/>
      <c r="Z119" s="717"/>
      <c r="AA119" s="717"/>
      <c r="AB119" s="717"/>
      <c r="AC119" s="717"/>
      <c r="AF119" s="719"/>
      <c r="AG119" s="719"/>
      <c r="AH119" s="719"/>
      <c r="AI119" s="720" t="s">
        <v>511</v>
      </c>
      <c r="AJ119" s="719"/>
      <c r="AK119" s="719"/>
      <c r="AL119" s="719"/>
      <c r="AM119" s="719"/>
      <c r="AN119" s="719"/>
      <c r="AO119" s="719"/>
      <c r="AP119" s="719"/>
      <c r="AQ119" s="719"/>
      <c r="AR119" s="719"/>
      <c r="AS119" s="719"/>
    </row>
    <row r="120" spans="1:45" ht="14.25" x14ac:dyDescent="0.2">
      <c r="A120" s="713"/>
      <c r="B120" s="713"/>
      <c r="C120" s="713"/>
      <c r="D120" s="713"/>
      <c r="E120" s="713"/>
      <c r="F120" s="713"/>
      <c r="H120" s="1" t="s">
        <v>512</v>
      </c>
      <c r="O120" s="704"/>
      <c r="P120" s="721">
        <v>27000</v>
      </c>
      <c r="Q120" s="721">
        <v>27000</v>
      </c>
      <c r="R120" s="721">
        <v>41000</v>
      </c>
      <c r="S120" s="721">
        <v>54000</v>
      </c>
      <c r="T120" s="721">
        <v>68000</v>
      </c>
      <c r="U120" s="721">
        <v>82000</v>
      </c>
      <c r="V120" s="721">
        <v>109000</v>
      </c>
      <c r="W120" s="721">
        <v>136000</v>
      </c>
      <c r="X120" s="721">
        <v>163000</v>
      </c>
      <c r="Y120" s="721">
        <v>191000</v>
      </c>
      <c r="Z120" s="721">
        <v>218000</v>
      </c>
      <c r="AA120" s="721">
        <v>272000</v>
      </c>
      <c r="AB120" s="721">
        <v>341000</v>
      </c>
      <c r="AC120" s="721">
        <v>409000</v>
      </c>
      <c r="AF120" s="722">
        <f>P120</f>
        <v>27000</v>
      </c>
      <c r="AG120" s="722">
        <f t="shared" ref="AG120:AS120" si="36">Q120</f>
        <v>27000</v>
      </c>
      <c r="AH120" s="722">
        <f t="shared" si="36"/>
        <v>41000</v>
      </c>
      <c r="AI120" s="722">
        <f t="shared" si="36"/>
        <v>54000</v>
      </c>
      <c r="AJ120" s="722">
        <f t="shared" si="36"/>
        <v>68000</v>
      </c>
      <c r="AK120" s="722">
        <f t="shared" si="36"/>
        <v>82000</v>
      </c>
      <c r="AL120" s="722">
        <f t="shared" si="36"/>
        <v>109000</v>
      </c>
      <c r="AM120" s="722">
        <f t="shared" si="36"/>
        <v>136000</v>
      </c>
      <c r="AN120" s="722">
        <f t="shared" si="36"/>
        <v>163000</v>
      </c>
      <c r="AO120" s="722">
        <f t="shared" si="36"/>
        <v>191000</v>
      </c>
      <c r="AP120" s="722">
        <f t="shared" si="36"/>
        <v>218000</v>
      </c>
      <c r="AQ120" s="722">
        <f t="shared" si="36"/>
        <v>272000</v>
      </c>
      <c r="AR120" s="722">
        <f t="shared" si="36"/>
        <v>341000</v>
      </c>
      <c r="AS120" s="722">
        <f t="shared" si="36"/>
        <v>409000</v>
      </c>
    </row>
    <row r="121" spans="1:45" ht="14.25" x14ac:dyDescent="0.2">
      <c r="A121" s="704" t="s">
        <v>513</v>
      </c>
      <c r="B121" s="704" t="s">
        <v>513</v>
      </c>
      <c r="C121" s="704" t="s">
        <v>514</v>
      </c>
      <c r="D121" s="704" t="s">
        <v>515</v>
      </c>
      <c r="E121" s="704">
        <v>1</v>
      </c>
      <c r="F121" s="704">
        <v>100</v>
      </c>
      <c r="H121">
        <f t="shared" ref="H121:H184" si="37">A121*1</f>
        <v>800</v>
      </c>
      <c r="I121" t="str">
        <f t="shared" ref="I121:I184" si="38">D121</f>
        <v>Greater Darwin</v>
      </c>
      <c r="J121" t="s">
        <v>515</v>
      </c>
      <c r="K121" s="1" t="s">
        <v>498</v>
      </c>
      <c r="O121" s="704"/>
      <c r="P121" s="723" t="s">
        <v>516</v>
      </c>
      <c r="Q121" s="723" t="s">
        <v>517</v>
      </c>
      <c r="R121" s="723" t="s">
        <v>517</v>
      </c>
      <c r="S121" s="723" t="s">
        <v>517</v>
      </c>
      <c r="T121" s="723" t="s">
        <v>517</v>
      </c>
      <c r="U121" s="723" t="s">
        <v>517</v>
      </c>
      <c r="V121" s="723" t="s">
        <v>517</v>
      </c>
      <c r="W121" s="723" t="s">
        <v>517</v>
      </c>
      <c r="X121" s="723" t="s">
        <v>517</v>
      </c>
      <c r="Y121" s="723" t="s">
        <v>517</v>
      </c>
      <c r="Z121" s="723" t="s">
        <v>517</v>
      </c>
      <c r="AA121" s="723" t="s">
        <v>517</v>
      </c>
      <c r="AB121" s="723" t="s">
        <v>517</v>
      </c>
      <c r="AC121" s="723" t="s">
        <v>517</v>
      </c>
      <c r="AF121" s="724" t="s">
        <v>516</v>
      </c>
      <c r="AG121" s="724" t="s">
        <v>517</v>
      </c>
      <c r="AH121" s="724" t="s">
        <v>517</v>
      </c>
      <c r="AI121" s="724" t="s">
        <v>517</v>
      </c>
      <c r="AJ121" s="724" t="s">
        <v>517</v>
      </c>
      <c r="AK121" s="724" t="s">
        <v>517</v>
      </c>
      <c r="AL121" s="724" t="s">
        <v>517</v>
      </c>
      <c r="AM121" s="724" t="s">
        <v>517</v>
      </c>
      <c r="AN121" s="724" t="s">
        <v>517</v>
      </c>
      <c r="AO121" s="724" t="s">
        <v>517</v>
      </c>
      <c r="AP121" s="724" t="s">
        <v>517</v>
      </c>
      <c r="AQ121" s="724" t="s">
        <v>517</v>
      </c>
      <c r="AR121" s="724" t="s">
        <v>517</v>
      </c>
      <c r="AS121" s="724" t="s">
        <v>517</v>
      </c>
    </row>
    <row r="122" spans="1:45" ht="14.25" x14ac:dyDescent="0.2">
      <c r="A122" s="704" t="s">
        <v>518</v>
      </c>
      <c r="B122" s="704" t="s">
        <v>518</v>
      </c>
      <c r="C122" s="704" t="s">
        <v>514</v>
      </c>
      <c r="D122" s="704" t="s">
        <v>515</v>
      </c>
      <c r="E122" s="704">
        <v>1</v>
      </c>
      <c r="F122" s="704">
        <v>100</v>
      </c>
      <c r="H122">
        <f t="shared" si="37"/>
        <v>810</v>
      </c>
      <c r="I122" t="str">
        <f t="shared" si="38"/>
        <v>Greater Darwin</v>
      </c>
      <c r="J122" t="s">
        <v>519</v>
      </c>
      <c r="K122" s="1" t="s">
        <v>498</v>
      </c>
      <c r="O122" s="704"/>
      <c r="P122" s="725"/>
      <c r="Q122" s="726">
        <v>41000</v>
      </c>
      <c r="R122" s="726">
        <v>54000</v>
      </c>
      <c r="S122" s="726">
        <v>68000</v>
      </c>
      <c r="T122" s="726">
        <v>82000</v>
      </c>
      <c r="U122" s="726">
        <v>109000</v>
      </c>
      <c r="V122" s="726">
        <v>136000</v>
      </c>
      <c r="W122" s="726">
        <v>163000</v>
      </c>
      <c r="X122" s="726">
        <v>191000</v>
      </c>
      <c r="Y122" s="726">
        <v>218000</v>
      </c>
      <c r="Z122" s="726">
        <v>272000</v>
      </c>
      <c r="AA122" s="726">
        <v>341000</v>
      </c>
      <c r="AB122" s="726">
        <v>409000</v>
      </c>
      <c r="AC122" s="726">
        <v>681000</v>
      </c>
      <c r="AF122" s="727"/>
      <c r="AG122" s="728">
        <f>Q122</f>
        <v>41000</v>
      </c>
      <c r="AH122" s="728">
        <f t="shared" ref="AH122:AS122" si="39">R122</f>
        <v>54000</v>
      </c>
      <c r="AI122" s="728">
        <f t="shared" si="39"/>
        <v>68000</v>
      </c>
      <c r="AJ122" s="728">
        <f t="shared" si="39"/>
        <v>82000</v>
      </c>
      <c r="AK122" s="728">
        <f t="shared" si="39"/>
        <v>109000</v>
      </c>
      <c r="AL122" s="728">
        <f t="shared" si="39"/>
        <v>136000</v>
      </c>
      <c r="AM122" s="728">
        <f t="shared" si="39"/>
        <v>163000</v>
      </c>
      <c r="AN122" s="728">
        <f t="shared" si="39"/>
        <v>191000</v>
      </c>
      <c r="AO122" s="728">
        <f t="shared" si="39"/>
        <v>218000</v>
      </c>
      <c r="AP122" s="728">
        <f t="shared" si="39"/>
        <v>272000</v>
      </c>
      <c r="AQ122" s="728">
        <f t="shared" si="39"/>
        <v>341000</v>
      </c>
      <c r="AR122" s="728">
        <f t="shared" si="39"/>
        <v>409000</v>
      </c>
      <c r="AS122" s="728">
        <f t="shared" si="39"/>
        <v>681000</v>
      </c>
    </row>
    <row r="123" spans="1:45" ht="28.5" x14ac:dyDescent="0.45">
      <c r="A123" s="704" t="s">
        <v>520</v>
      </c>
      <c r="B123" s="704" t="s">
        <v>520</v>
      </c>
      <c r="C123" s="704" t="s">
        <v>514</v>
      </c>
      <c r="D123" s="704" t="s">
        <v>515</v>
      </c>
      <c r="E123" s="704">
        <v>1</v>
      </c>
      <c r="F123" s="704">
        <v>100</v>
      </c>
      <c r="H123">
        <f t="shared" si="37"/>
        <v>812</v>
      </c>
      <c r="I123" t="str">
        <f t="shared" si="38"/>
        <v>Greater Darwin</v>
      </c>
      <c r="J123" t="s">
        <v>521</v>
      </c>
      <c r="K123" s="1" t="s">
        <v>495</v>
      </c>
      <c r="O123" s="705" t="s">
        <v>485</v>
      </c>
      <c r="P123" s="729"/>
      <c r="Q123" s="729"/>
      <c r="R123" s="729"/>
      <c r="S123" s="729"/>
      <c r="T123" s="729"/>
      <c r="U123" s="729"/>
      <c r="V123" s="729"/>
      <c r="W123" s="729"/>
      <c r="X123" s="729"/>
      <c r="Y123" s="729"/>
      <c r="Z123" s="729"/>
      <c r="AA123" s="729"/>
      <c r="AB123" s="729"/>
      <c r="AC123" s="729"/>
      <c r="AE123" s="706" t="s">
        <v>485</v>
      </c>
      <c r="AF123" s="730"/>
      <c r="AG123" s="731"/>
      <c r="AH123" s="731"/>
      <c r="AI123" s="731"/>
      <c r="AJ123" s="731"/>
      <c r="AK123" s="731"/>
      <c r="AL123" s="731"/>
      <c r="AM123" s="731"/>
      <c r="AN123" s="731"/>
      <c r="AO123" s="731"/>
      <c r="AP123" s="731"/>
      <c r="AQ123" s="731"/>
      <c r="AR123" s="731"/>
      <c r="AS123" s="731"/>
    </row>
    <row r="124" spans="1:45" x14ac:dyDescent="0.2">
      <c r="A124" s="704" t="s">
        <v>522</v>
      </c>
      <c r="B124" s="704" t="s">
        <v>522</v>
      </c>
      <c r="C124" s="704" t="s">
        <v>514</v>
      </c>
      <c r="D124" s="704" t="s">
        <v>515</v>
      </c>
      <c r="E124" s="704">
        <v>0.99739800000000001</v>
      </c>
      <c r="F124" s="704">
        <v>99.739800000000002</v>
      </c>
      <c r="H124">
        <f t="shared" si="37"/>
        <v>820</v>
      </c>
      <c r="I124" t="str">
        <f t="shared" si="38"/>
        <v>Greater Darwin</v>
      </c>
      <c r="J124" t="s">
        <v>523</v>
      </c>
      <c r="K124" s="1" t="s">
        <v>493</v>
      </c>
      <c r="O124" s="704" t="s">
        <v>524</v>
      </c>
      <c r="P124" s="729"/>
      <c r="Q124" s="729">
        <v>623.39132412634933</v>
      </c>
      <c r="R124" s="729">
        <v>639.69642810008213</v>
      </c>
      <c r="S124" s="729">
        <v>663.63034313580499</v>
      </c>
      <c r="T124" s="729">
        <v>707.14957645287461</v>
      </c>
      <c r="U124" s="729">
        <v>767.25098560479501</v>
      </c>
      <c r="V124" s="729">
        <v>854.53837407574485</v>
      </c>
      <c r="W124" s="729">
        <v>928.62948251094986</v>
      </c>
      <c r="X124" s="729">
        <v>1017.6434839161407</v>
      </c>
      <c r="Y124" s="729">
        <v>1064.7704831526985</v>
      </c>
      <c r="Z124" s="729">
        <v>1119.8659485400419</v>
      </c>
      <c r="AA124" s="729">
        <v>1251.4415163417841</v>
      </c>
      <c r="AB124" s="729">
        <v>1406.9724497040506</v>
      </c>
      <c r="AC124" s="729">
        <v>1444.0438104934062</v>
      </c>
      <c r="AE124" t="s">
        <v>524</v>
      </c>
      <c r="AF124" s="732"/>
      <c r="AG124" s="732"/>
      <c r="AH124" s="732"/>
      <c r="AI124" s="732"/>
      <c r="AJ124" s="732"/>
      <c r="AK124" s="732"/>
      <c r="AL124" s="732"/>
      <c r="AM124" s="732"/>
      <c r="AN124" s="732"/>
      <c r="AO124" s="732"/>
      <c r="AP124" s="732"/>
      <c r="AQ124" s="732"/>
      <c r="AR124" s="732"/>
      <c r="AS124" s="732"/>
    </row>
    <row r="125" spans="1:45" x14ac:dyDescent="0.2">
      <c r="A125" s="704" t="s">
        <v>525</v>
      </c>
      <c r="B125" s="704" t="s">
        <v>525</v>
      </c>
      <c r="C125" s="704" t="s">
        <v>514</v>
      </c>
      <c r="D125" s="704" t="s">
        <v>515</v>
      </c>
      <c r="E125" s="704">
        <v>0.14417199999999999</v>
      </c>
      <c r="F125" s="704">
        <v>14.417199999999999</v>
      </c>
      <c r="H125">
        <f t="shared" si="37"/>
        <v>822</v>
      </c>
      <c r="I125" t="str">
        <f t="shared" si="38"/>
        <v>Greater Darwin</v>
      </c>
      <c r="J125" t="s">
        <v>526</v>
      </c>
      <c r="K125" s="1" t="s">
        <v>486</v>
      </c>
      <c r="O125" s="704" t="s">
        <v>527</v>
      </c>
      <c r="P125" s="729"/>
      <c r="Q125" s="729"/>
      <c r="R125" s="729">
        <v>735.80124082345844</v>
      </c>
      <c r="S125" s="729">
        <v>759.71244278743734</v>
      </c>
      <c r="T125" s="729">
        <v>803.19037835163249</v>
      </c>
      <c r="U125" s="729">
        <v>863.23475688347708</v>
      </c>
      <c r="V125" s="729">
        <v>950.43931371632641</v>
      </c>
      <c r="W125" s="729">
        <v>1024.4601142653664</v>
      </c>
      <c r="X125" s="729">
        <v>1113.3896443510082</v>
      </c>
      <c r="Y125" s="729">
        <v>1160.4719261882794</v>
      </c>
      <c r="Z125" s="729">
        <v>1215.5151076874852</v>
      </c>
      <c r="AA125" s="729">
        <v>1346.965817762592</v>
      </c>
      <c r="AB125" s="729">
        <v>1502.3491617638679</v>
      </c>
      <c r="AC125" s="729">
        <v>1539.3853430981133</v>
      </c>
      <c r="AE125" t="s">
        <v>528</v>
      </c>
      <c r="AF125" s="732">
        <f>MAX(P127-P126,0)</f>
        <v>0</v>
      </c>
      <c r="AG125" s="732">
        <f t="shared" ref="AG125:AS125" si="40">MAX(Q127-Q126,0)</f>
        <v>0</v>
      </c>
      <c r="AH125" s="732">
        <f t="shared" si="40"/>
        <v>0</v>
      </c>
      <c r="AI125" s="732">
        <f t="shared" si="40"/>
        <v>65.817364207907076</v>
      </c>
      <c r="AJ125" s="732">
        <f t="shared" si="40"/>
        <v>65.965836786045998</v>
      </c>
      <c r="AK125" s="732">
        <f t="shared" si="40"/>
        <v>66.170883582167107</v>
      </c>
      <c r="AL125" s="732">
        <f t="shared" si="40"/>
        <v>66.468679113414055</v>
      </c>
      <c r="AM125" s="732">
        <f t="shared" si="40"/>
        <v>66.721450810285205</v>
      </c>
      <c r="AN125" s="732">
        <f t="shared" si="40"/>
        <v>67.02513418631429</v>
      </c>
      <c r="AO125" s="732">
        <f t="shared" si="40"/>
        <v>67.185915923030052</v>
      </c>
      <c r="AP125" s="732">
        <f t="shared" si="40"/>
        <v>67.373881404669874</v>
      </c>
      <c r="AQ125" s="732">
        <f t="shared" si="40"/>
        <v>67.822773991002123</v>
      </c>
      <c r="AR125" s="732">
        <f t="shared" si="40"/>
        <v>68.35339141916711</v>
      </c>
      <c r="AS125" s="732">
        <f t="shared" si="40"/>
        <v>68.479867191316316</v>
      </c>
    </row>
    <row r="126" spans="1:45" x14ac:dyDescent="0.2">
      <c r="A126" s="704" t="s">
        <v>525</v>
      </c>
      <c r="B126" s="704" t="s">
        <v>525</v>
      </c>
      <c r="C126" s="704" t="s">
        <v>529</v>
      </c>
      <c r="D126" s="704" t="s">
        <v>519</v>
      </c>
      <c r="E126" s="704">
        <v>0.85299199999999997</v>
      </c>
      <c r="F126" s="704">
        <v>85.299199999999999</v>
      </c>
      <c r="H126">
        <f t="shared" si="37"/>
        <v>822</v>
      </c>
      <c r="I126" t="str">
        <f t="shared" si="38"/>
        <v>Rest of NT</v>
      </c>
      <c r="J126" t="s">
        <v>530</v>
      </c>
      <c r="K126" s="1" t="s">
        <v>487</v>
      </c>
      <c r="O126" s="704" t="s">
        <v>531</v>
      </c>
      <c r="P126" s="729"/>
      <c r="Q126" s="729"/>
      <c r="R126" s="729">
        <v>813.60502406376827</v>
      </c>
      <c r="S126" s="729">
        <v>837.60939608666047</v>
      </c>
      <c r="T126" s="729">
        <v>881.25673850471617</v>
      </c>
      <c r="U126" s="729">
        <v>941.53506991582321</v>
      </c>
      <c r="V126" s="729">
        <v>1029.0794098415695</v>
      </c>
      <c r="W126" s="729">
        <v>1103.3886235276705</v>
      </c>
      <c r="X126" s="729">
        <v>1192.6646604350935</v>
      </c>
      <c r="Y126" s="729">
        <v>1239.9303893881561</v>
      </c>
      <c r="Z126" s="729">
        <v>1295.1880411236909</v>
      </c>
      <c r="AA126" s="729">
        <v>1427.1509339709362</v>
      </c>
      <c r="AB126" s="729">
        <v>1583.1397109256159</v>
      </c>
      <c r="AC126" s="729">
        <v>1620.320201039852</v>
      </c>
      <c r="AF126" s="732"/>
      <c r="AG126" s="732"/>
      <c r="AH126" s="732"/>
      <c r="AI126" s="733"/>
      <c r="AJ126" s="733"/>
      <c r="AK126" s="733"/>
      <c r="AL126" s="733"/>
      <c r="AM126" s="733"/>
      <c r="AN126" s="733"/>
      <c r="AO126" s="733"/>
      <c r="AP126" s="733"/>
      <c r="AQ126" s="733"/>
      <c r="AR126" s="733"/>
      <c r="AS126" s="733"/>
    </row>
    <row r="127" spans="1:45" x14ac:dyDescent="0.2">
      <c r="A127" s="704" t="s">
        <v>532</v>
      </c>
      <c r="B127" s="704" t="s">
        <v>532</v>
      </c>
      <c r="C127" s="704" t="s">
        <v>514</v>
      </c>
      <c r="D127" s="704" t="s">
        <v>515</v>
      </c>
      <c r="E127" s="704">
        <v>1</v>
      </c>
      <c r="F127" s="704">
        <v>100</v>
      </c>
      <c r="H127">
        <f t="shared" si="37"/>
        <v>828</v>
      </c>
      <c r="I127" t="str">
        <f t="shared" si="38"/>
        <v>Greater Darwin</v>
      </c>
      <c r="J127" t="s">
        <v>533</v>
      </c>
      <c r="K127" s="1" t="s">
        <v>491</v>
      </c>
      <c r="O127" s="704" t="s">
        <v>534</v>
      </c>
      <c r="P127" s="729"/>
      <c r="Q127" s="729"/>
      <c r="R127" s="729"/>
      <c r="S127" s="729">
        <v>903.42676029456754</v>
      </c>
      <c r="T127" s="729">
        <v>947.22257529076217</v>
      </c>
      <c r="U127" s="729">
        <v>1007.7059534979903</v>
      </c>
      <c r="V127" s="729">
        <v>1095.5480889549835</v>
      </c>
      <c r="W127" s="729">
        <v>1170.1100743379557</v>
      </c>
      <c r="X127" s="729">
        <v>1259.6897946214078</v>
      </c>
      <c r="Y127" s="729">
        <v>1307.1163053111861</v>
      </c>
      <c r="Z127" s="729">
        <v>1362.5619225283608</v>
      </c>
      <c r="AA127" s="729">
        <v>1494.9737079619383</v>
      </c>
      <c r="AB127" s="729">
        <v>1651.493102344783</v>
      </c>
      <c r="AC127" s="729">
        <v>1688.8000682311683</v>
      </c>
      <c r="AE127" t="s">
        <v>535</v>
      </c>
      <c r="AF127" s="732"/>
      <c r="AG127" s="732"/>
      <c r="AH127" s="732"/>
      <c r="AI127" s="732"/>
      <c r="AJ127" s="732"/>
      <c r="AK127" s="732"/>
      <c r="AL127" s="732"/>
      <c r="AM127" s="732"/>
      <c r="AN127" s="732"/>
      <c r="AO127" s="732"/>
      <c r="AP127" s="732"/>
      <c r="AQ127" s="732"/>
      <c r="AR127" s="732"/>
      <c r="AS127" s="732"/>
    </row>
    <row r="128" spans="1:45" x14ac:dyDescent="0.2">
      <c r="A128" s="704" t="s">
        <v>536</v>
      </c>
      <c r="B128" s="704" t="s">
        <v>536</v>
      </c>
      <c r="C128" s="704" t="s">
        <v>514</v>
      </c>
      <c r="D128" s="704" t="s">
        <v>515</v>
      </c>
      <c r="E128" s="704">
        <v>1</v>
      </c>
      <c r="F128" s="704">
        <v>100</v>
      </c>
      <c r="H128">
        <f t="shared" si="37"/>
        <v>829</v>
      </c>
      <c r="I128" t="str">
        <f t="shared" si="38"/>
        <v>Greater Darwin</v>
      </c>
      <c r="J128" t="s">
        <v>537</v>
      </c>
      <c r="K128" s="1" t="s">
        <v>498</v>
      </c>
      <c r="O128" s="704"/>
      <c r="P128" s="729"/>
      <c r="Q128" s="729"/>
      <c r="R128" s="729"/>
      <c r="S128" s="729"/>
      <c r="T128" s="729"/>
      <c r="U128" s="729"/>
      <c r="V128" s="729"/>
      <c r="W128" s="729"/>
      <c r="X128" s="729"/>
      <c r="Y128" s="729"/>
      <c r="Z128" s="729"/>
      <c r="AA128" s="729"/>
      <c r="AB128" s="729"/>
      <c r="AC128" s="729"/>
      <c r="AE128" t="s">
        <v>528</v>
      </c>
      <c r="AF128" s="732">
        <f>MAX(P132-P131,0)</f>
        <v>0</v>
      </c>
      <c r="AG128" s="732">
        <f t="shared" ref="AG128:AS128" si="41">MAX(Q132-Q131,0)</f>
        <v>0</v>
      </c>
      <c r="AH128" s="732">
        <f t="shared" si="41"/>
        <v>118.55439613236149</v>
      </c>
      <c r="AI128" s="732">
        <f t="shared" si="41"/>
        <v>118.57093283662789</v>
      </c>
      <c r="AJ128" s="732">
        <f t="shared" si="41"/>
        <v>118.6010027960416</v>
      </c>
      <c r="AK128" s="732">
        <f t="shared" si="41"/>
        <v>118.64252786878728</v>
      </c>
      <c r="AL128" s="732">
        <f t="shared" si="41"/>
        <v>118.70283531144344</v>
      </c>
      <c r="AM128" s="732">
        <f t="shared" si="41"/>
        <v>118.75402683017887</v>
      </c>
      <c r="AN128" s="732">
        <f t="shared" si="41"/>
        <v>118.8155296476092</v>
      </c>
      <c r="AO128" s="732">
        <f t="shared" si="41"/>
        <v>118.84809074326006</v>
      </c>
      <c r="AP128" s="732">
        <f t="shared" si="41"/>
        <v>118.8861617293685</v>
      </c>
      <c r="AQ128" s="732">
        <f t="shared" si="41"/>
        <v>118.97706619752171</v>
      </c>
      <c r="AR128" s="732">
        <f t="shared" si="41"/>
        <v>119.08452409754977</v>
      </c>
      <c r="AS128" s="732">
        <f t="shared" si="41"/>
        <v>119.11014434995423</v>
      </c>
    </row>
    <row r="129" spans="1:45" x14ac:dyDescent="0.2">
      <c r="A129" s="704" t="s">
        <v>538</v>
      </c>
      <c r="B129" s="704" t="s">
        <v>538</v>
      </c>
      <c r="C129" s="704" t="s">
        <v>514</v>
      </c>
      <c r="D129" s="704" t="s">
        <v>515</v>
      </c>
      <c r="E129" s="704">
        <v>0.99999700000000002</v>
      </c>
      <c r="F129" s="704">
        <v>99.999700000000004</v>
      </c>
      <c r="H129">
        <f t="shared" si="37"/>
        <v>830</v>
      </c>
      <c r="I129" t="str">
        <f t="shared" si="38"/>
        <v>Greater Darwin</v>
      </c>
      <c r="J129" t="s">
        <v>539</v>
      </c>
      <c r="K129" s="1" t="s">
        <v>498</v>
      </c>
      <c r="O129" s="704" t="s">
        <v>535</v>
      </c>
      <c r="P129" s="729">
        <v>319.95367492125018</v>
      </c>
      <c r="Q129" s="729">
        <v>337.09493014794083</v>
      </c>
      <c r="R129" s="729">
        <v>353.24325491838357</v>
      </c>
      <c r="S129" s="729">
        <v>376.94703715326239</v>
      </c>
      <c r="T129" s="729">
        <v>420.047817780755</v>
      </c>
      <c r="U129" s="729">
        <v>479.57133183916068</v>
      </c>
      <c r="V129" s="729">
        <v>566.01942198658423</v>
      </c>
      <c r="W129" s="729">
        <v>639.39811921506805</v>
      </c>
      <c r="X129" s="729">
        <v>727.55621934749888</v>
      </c>
      <c r="Y129" s="729">
        <v>774.23007760877567</v>
      </c>
      <c r="Z129" s="729">
        <v>828.79578083929698</v>
      </c>
      <c r="AA129" s="729">
        <v>959.10620498547155</v>
      </c>
      <c r="AB129" s="729">
        <v>1113.1416546540993</v>
      </c>
      <c r="AC129" s="729">
        <v>1149.8565606040008</v>
      </c>
    </row>
    <row r="130" spans="1:45" x14ac:dyDescent="0.2">
      <c r="A130" s="704" t="s">
        <v>540</v>
      </c>
      <c r="B130" s="704" t="s">
        <v>540</v>
      </c>
      <c r="C130" s="704" t="s">
        <v>514</v>
      </c>
      <c r="D130" s="704" t="s">
        <v>515</v>
      </c>
      <c r="E130" s="704">
        <v>1</v>
      </c>
      <c r="F130" s="704">
        <v>100</v>
      </c>
      <c r="H130">
        <f t="shared" si="37"/>
        <v>832</v>
      </c>
      <c r="I130" t="str">
        <f t="shared" si="38"/>
        <v>Greater Darwin</v>
      </c>
      <c r="J130" t="s">
        <v>541</v>
      </c>
      <c r="K130" s="1" t="s">
        <v>489</v>
      </c>
      <c r="O130" s="704" t="s">
        <v>542</v>
      </c>
      <c r="P130" s="729"/>
      <c r="Q130" s="729">
        <v>438.61233996708393</v>
      </c>
      <c r="R130" s="729">
        <v>454.66012855694038</v>
      </c>
      <c r="S130" s="729">
        <v>478.21633880241353</v>
      </c>
      <c r="T130" s="729">
        <v>521.04878341082781</v>
      </c>
      <c r="U130" s="729">
        <v>580.20171607757629</v>
      </c>
      <c r="V130" s="729">
        <v>666.11160318276359</v>
      </c>
      <c r="W130" s="729">
        <v>739.0334601485381</v>
      </c>
      <c r="X130" s="729">
        <v>826.64271220924047</v>
      </c>
      <c r="Y130" s="729">
        <v>873.02598818708168</v>
      </c>
      <c r="Z130" s="729">
        <v>927.25197656798889</v>
      </c>
      <c r="AA130" s="729">
        <v>1056.7511201164898</v>
      </c>
      <c r="AB130" s="729">
        <v>1209.8275845073151</v>
      </c>
      <c r="AC130" s="729">
        <v>1246.3139104375582</v>
      </c>
    </row>
    <row r="131" spans="1:45" ht="28.5" x14ac:dyDescent="0.45">
      <c r="A131" s="704" t="s">
        <v>543</v>
      </c>
      <c r="B131" s="704" t="s">
        <v>543</v>
      </c>
      <c r="C131" s="704" t="s">
        <v>514</v>
      </c>
      <c r="D131" s="704" t="s">
        <v>515</v>
      </c>
      <c r="E131" s="704">
        <v>1</v>
      </c>
      <c r="F131" s="704">
        <v>100</v>
      </c>
      <c r="H131">
        <f t="shared" si="37"/>
        <v>835</v>
      </c>
      <c r="I131" t="str">
        <f t="shared" si="38"/>
        <v>Greater Darwin</v>
      </c>
      <c r="J131" t="s">
        <v>544</v>
      </c>
      <c r="K131" s="1" t="s">
        <v>488</v>
      </c>
      <c r="O131" s="704" t="s">
        <v>545</v>
      </c>
      <c r="P131" s="729"/>
      <c r="Q131" s="729">
        <v>557.15547087948266</v>
      </c>
      <c r="R131" s="729">
        <v>573.21452468930192</v>
      </c>
      <c r="S131" s="729">
        <v>596.78727163904136</v>
      </c>
      <c r="T131" s="729">
        <v>639.64978620686941</v>
      </c>
      <c r="U131" s="729">
        <v>698.84424394636358</v>
      </c>
      <c r="V131" s="729">
        <v>784.81443849420702</v>
      </c>
      <c r="W131" s="729">
        <v>857.78748697871697</v>
      </c>
      <c r="X131" s="729">
        <v>945.45824185684967</v>
      </c>
      <c r="Y131" s="729">
        <v>991.87407893034185</v>
      </c>
      <c r="Z131" s="729">
        <v>1046.1381382973575</v>
      </c>
      <c r="AA131" s="729">
        <v>1175.7281863140115</v>
      </c>
      <c r="AB131" s="729">
        <v>1328.9121086048649</v>
      </c>
      <c r="AC131" s="729">
        <v>1365.4240547875124</v>
      </c>
      <c r="AE131" s="706" t="s">
        <v>486</v>
      </c>
    </row>
    <row r="132" spans="1:45" x14ac:dyDescent="0.2">
      <c r="A132" s="704" t="s">
        <v>546</v>
      </c>
      <c r="B132" s="704" t="s">
        <v>546</v>
      </c>
      <c r="C132" s="704" t="s">
        <v>514</v>
      </c>
      <c r="D132" s="704" t="s">
        <v>515</v>
      </c>
      <c r="E132" s="704">
        <v>1</v>
      </c>
      <c r="F132" s="704">
        <v>100</v>
      </c>
      <c r="H132">
        <f t="shared" si="37"/>
        <v>836</v>
      </c>
      <c r="I132" t="str">
        <f t="shared" si="38"/>
        <v>Greater Darwin</v>
      </c>
      <c r="J132" t="s">
        <v>547</v>
      </c>
      <c r="K132" s="1" t="s">
        <v>490</v>
      </c>
      <c r="O132" s="704" t="s">
        <v>548</v>
      </c>
      <c r="P132" s="729"/>
      <c r="Q132" s="729"/>
      <c r="R132" s="729">
        <v>691.76892082166341</v>
      </c>
      <c r="S132" s="729">
        <v>715.35820447566925</v>
      </c>
      <c r="T132" s="729">
        <v>758.25078900291101</v>
      </c>
      <c r="U132" s="729">
        <v>817.48677181515086</v>
      </c>
      <c r="V132" s="729">
        <v>903.51727380565046</v>
      </c>
      <c r="W132" s="729">
        <v>976.54151380889584</v>
      </c>
      <c r="X132" s="729">
        <v>1064.2737715044589</v>
      </c>
      <c r="Y132" s="729">
        <v>1110.7221696736019</v>
      </c>
      <c r="Z132" s="729">
        <v>1165.024300026726</v>
      </c>
      <c r="AA132" s="729">
        <v>1294.7052525115332</v>
      </c>
      <c r="AB132" s="729">
        <v>1447.9966327024147</v>
      </c>
      <c r="AC132" s="729">
        <v>1484.5341991374667</v>
      </c>
      <c r="AE132" t="s">
        <v>524</v>
      </c>
      <c r="AF132" s="732"/>
      <c r="AG132" s="732"/>
      <c r="AH132" s="732"/>
      <c r="AI132" s="732"/>
      <c r="AJ132" s="732"/>
      <c r="AK132" s="732"/>
      <c r="AL132" s="732"/>
      <c r="AM132" s="732"/>
      <c r="AN132" s="732"/>
      <c r="AO132" s="732"/>
      <c r="AP132" s="732"/>
      <c r="AQ132" s="732"/>
      <c r="AR132" s="732"/>
      <c r="AS132" s="732"/>
    </row>
    <row r="133" spans="1:45" x14ac:dyDescent="0.2">
      <c r="A133" s="704" t="s">
        <v>549</v>
      </c>
      <c r="B133" s="704" t="s">
        <v>549</v>
      </c>
      <c r="C133" s="704" t="s">
        <v>514</v>
      </c>
      <c r="D133" s="704" t="s">
        <v>515</v>
      </c>
      <c r="E133" s="704">
        <v>1</v>
      </c>
      <c r="F133" s="704">
        <v>100</v>
      </c>
      <c r="H133">
        <f t="shared" si="37"/>
        <v>837</v>
      </c>
      <c r="I133" t="str">
        <f t="shared" si="38"/>
        <v>Greater Darwin</v>
      </c>
      <c r="J133" t="s">
        <v>550</v>
      </c>
      <c r="K133" s="1" t="s">
        <v>492</v>
      </c>
      <c r="O133" s="704"/>
      <c r="P133" s="729"/>
      <c r="Q133" s="729"/>
      <c r="R133" s="729"/>
      <c r="S133" s="729"/>
      <c r="T133" s="729"/>
      <c r="U133" s="729"/>
      <c r="V133" s="729"/>
      <c r="W133" s="729"/>
      <c r="X133" s="729"/>
      <c r="Y133" s="729"/>
      <c r="Z133" s="729"/>
      <c r="AA133" s="729"/>
      <c r="AB133" s="729"/>
      <c r="AC133" s="729"/>
      <c r="AE133" t="s">
        <v>528</v>
      </c>
      <c r="AF133" s="732">
        <f>MAX(P139-P138,0)</f>
        <v>0</v>
      </c>
      <c r="AG133" s="732">
        <f t="shared" ref="AG133:AS133" si="42">MAX(Q139-Q138,0)</f>
        <v>0</v>
      </c>
      <c r="AH133" s="732">
        <f t="shared" si="42"/>
        <v>0</v>
      </c>
      <c r="AI133" s="732">
        <f t="shared" si="42"/>
        <v>69.048917284102913</v>
      </c>
      <c r="AJ133" s="732">
        <f t="shared" si="42"/>
        <v>69.197390278381818</v>
      </c>
      <c r="AK133" s="732">
        <f t="shared" si="42"/>
        <v>69.402434560667871</v>
      </c>
      <c r="AL133" s="732">
        <f t="shared" si="42"/>
        <v>69.700228430753214</v>
      </c>
      <c r="AM133" s="732">
        <f t="shared" si="42"/>
        <v>69.953003159145055</v>
      </c>
      <c r="AN133" s="732">
        <f t="shared" si="42"/>
        <v>70.256687885294014</v>
      </c>
      <c r="AO133" s="732">
        <f t="shared" si="42"/>
        <v>70.41746807618938</v>
      </c>
      <c r="AP133" s="732">
        <f t="shared" si="42"/>
        <v>70.605432852585182</v>
      </c>
      <c r="AQ133" s="732">
        <f t="shared" si="42"/>
        <v>71.054326724469092</v>
      </c>
      <c r="AR133" s="732">
        <f t="shared" si="42"/>
        <v>71.584941931753747</v>
      </c>
      <c r="AS133" s="732">
        <f t="shared" si="42"/>
        <v>71.711415447444779</v>
      </c>
    </row>
    <row r="134" spans="1:45" x14ac:dyDescent="0.2">
      <c r="A134" s="704" t="s">
        <v>551</v>
      </c>
      <c r="B134" s="704" t="s">
        <v>551</v>
      </c>
      <c r="C134" s="704" t="s">
        <v>514</v>
      </c>
      <c r="D134" s="704" t="s">
        <v>515</v>
      </c>
      <c r="E134" s="704">
        <v>1</v>
      </c>
      <c r="F134" s="704">
        <v>100</v>
      </c>
      <c r="H134">
        <f t="shared" si="37"/>
        <v>838</v>
      </c>
      <c r="I134" t="str">
        <f t="shared" si="38"/>
        <v>Greater Darwin</v>
      </c>
      <c r="J134" t="s">
        <v>552</v>
      </c>
      <c r="K134" s="1" t="s">
        <v>494</v>
      </c>
      <c r="O134" s="704"/>
      <c r="P134" s="729"/>
      <c r="Q134" s="729"/>
      <c r="R134" s="729"/>
      <c r="S134" s="729"/>
      <c r="T134" s="729"/>
      <c r="U134" s="729"/>
      <c r="V134" s="729"/>
      <c r="W134" s="729"/>
      <c r="X134" s="729"/>
      <c r="Y134" s="729"/>
      <c r="Z134" s="729"/>
      <c r="AA134" s="729"/>
      <c r="AB134" s="729"/>
      <c r="AC134" s="729"/>
      <c r="AF134" s="732"/>
      <c r="AG134" s="732"/>
      <c r="AH134" s="732"/>
      <c r="AI134" s="732"/>
      <c r="AJ134" s="732"/>
      <c r="AK134" s="732"/>
      <c r="AL134" s="732"/>
      <c r="AM134" s="732"/>
      <c r="AN134" s="732"/>
      <c r="AO134" s="732"/>
      <c r="AP134" s="732"/>
      <c r="AQ134" s="732"/>
      <c r="AR134" s="732"/>
      <c r="AS134" s="732"/>
    </row>
    <row r="135" spans="1:45" ht="28.5" x14ac:dyDescent="0.45">
      <c r="A135" s="704" t="s">
        <v>553</v>
      </c>
      <c r="B135" s="704" t="s">
        <v>553</v>
      </c>
      <c r="C135" s="704" t="s">
        <v>529</v>
      </c>
      <c r="D135" s="704" t="s">
        <v>519</v>
      </c>
      <c r="E135" s="704">
        <v>0.99731700000000001</v>
      </c>
      <c r="F135" s="704">
        <v>99.731700000000004</v>
      </c>
      <c r="H135">
        <f t="shared" si="37"/>
        <v>840</v>
      </c>
      <c r="I135" t="str">
        <f t="shared" si="38"/>
        <v>Rest of NT</v>
      </c>
      <c r="J135" t="s">
        <v>554</v>
      </c>
      <c r="K135" s="1" t="s">
        <v>496</v>
      </c>
      <c r="O135" s="705" t="s">
        <v>486</v>
      </c>
      <c r="P135" s="729"/>
      <c r="Q135" s="729"/>
      <c r="R135" s="729"/>
      <c r="S135" s="729"/>
      <c r="T135" s="729"/>
      <c r="U135" s="729"/>
      <c r="V135" s="729"/>
      <c r="W135" s="729"/>
      <c r="X135" s="729"/>
      <c r="Y135" s="729"/>
      <c r="Z135" s="729"/>
      <c r="AA135" s="729"/>
      <c r="AB135" s="729"/>
      <c r="AC135" s="729"/>
      <c r="AE135" t="s">
        <v>535</v>
      </c>
      <c r="AF135" s="732"/>
      <c r="AG135" s="732"/>
      <c r="AH135" s="732"/>
      <c r="AI135" s="732"/>
      <c r="AJ135" s="732"/>
      <c r="AK135" s="732"/>
      <c r="AL135" s="732"/>
      <c r="AM135" s="732"/>
      <c r="AN135" s="732"/>
      <c r="AO135" s="732"/>
      <c r="AP135" s="732"/>
      <c r="AQ135" s="732"/>
      <c r="AR135" s="732"/>
      <c r="AS135" s="732"/>
    </row>
    <row r="136" spans="1:45" x14ac:dyDescent="0.2">
      <c r="A136" s="704" t="s">
        <v>555</v>
      </c>
      <c r="B136" s="704" t="s">
        <v>555</v>
      </c>
      <c r="C136" s="704" t="s">
        <v>514</v>
      </c>
      <c r="D136" s="704" t="s">
        <v>515</v>
      </c>
      <c r="E136" s="704">
        <v>1</v>
      </c>
      <c r="F136" s="704">
        <v>100</v>
      </c>
      <c r="H136">
        <f t="shared" si="37"/>
        <v>841</v>
      </c>
      <c r="I136" t="str">
        <f t="shared" si="38"/>
        <v>Greater Darwin</v>
      </c>
      <c r="J136" t="s">
        <v>556</v>
      </c>
      <c r="K136" s="1" t="s">
        <v>497</v>
      </c>
      <c r="O136" s="704" t="s">
        <v>524</v>
      </c>
      <c r="P136" s="729"/>
      <c r="Q136" s="729">
        <v>616.28517039522762</v>
      </c>
      <c r="R136" s="729">
        <v>632.59027464038058</v>
      </c>
      <c r="S136" s="729">
        <v>656.52418926287396</v>
      </c>
      <c r="T136" s="729">
        <v>700.04342220788442</v>
      </c>
      <c r="U136" s="729">
        <v>760.14483222133526</v>
      </c>
      <c r="V136" s="729">
        <v>847.43222177491623</v>
      </c>
      <c r="W136" s="729">
        <v>921.52332917628451</v>
      </c>
      <c r="X136" s="729">
        <v>1010.5373299776417</v>
      </c>
      <c r="Y136" s="729">
        <v>1057.6643298851261</v>
      </c>
      <c r="Z136" s="729">
        <v>1112.7597955713366</v>
      </c>
      <c r="AA136" s="729">
        <v>1244.3353638427268</v>
      </c>
      <c r="AB136" s="729">
        <v>1399.8662978149264</v>
      </c>
      <c r="AC136" s="729">
        <v>1436.9376569574633</v>
      </c>
      <c r="AE136" t="s">
        <v>528</v>
      </c>
      <c r="AF136" s="732">
        <f>MAX(P144-P143,0)</f>
        <v>0</v>
      </c>
      <c r="AG136" s="732">
        <f t="shared" ref="AG136:AS136" si="43">MAX(Q144-Q143,0)</f>
        <v>0</v>
      </c>
      <c r="AH136" s="732">
        <f t="shared" si="43"/>
        <v>117.75990350471182</v>
      </c>
      <c r="AI136" s="732">
        <f t="shared" si="43"/>
        <v>117.7764378467042</v>
      </c>
      <c r="AJ136" s="732">
        <f t="shared" si="43"/>
        <v>117.80650744527247</v>
      </c>
      <c r="AK136" s="732">
        <f t="shared" si="43"/>
        <v>117.84803293824643</v>
      </c>
      <c r="AL136" s="732">
        <f t="shared" si="43"/>
        <v>117.90834466150204</v>
      </c>
      <c r="AM136" s="732">
        <f t="shared" si="43"/>
        <v>117.95953371517385</v>
      </c>
      <c r="AN136" s="732">
        <f t="shared" si="43"/>
        <v>118.02103535515494</v>
      </c>
      <c r="AO136" s="732">
        <f t="shared" si="43"/>
        <v>118.05359713402447</v>
      </c>
      <c r="AP136" s="732">
        <f t="shared" si="43"/>
        <v>118.09166131143957</v>
      </c>
      <c r="AQ136" s="732">
        <f t="shared" si="43"/>
        <v>118.18256964799298</v>
      </c>
      <c r="AR136" s="732">
        <f t="shared" si="43"/>
        <v>118.29003339722522</v>
      </c>
      <c r="AS136" s="732">
        <f t="shared" si="43"/>
        <v>118.31564681196505</v>
      </c>
    </row>
    <row r="137" spans="1:45" x14ac:dyDescent="0.2">
      <c r="A137" s="704" t="s">
        <v>557</v>
      </c>
      <c r="B137" s="704" t="s">
        <v>557</v>
      </c>
      <c r="C137" s="704" t="s">
        <v>529</v>
      </c>
      <c r="D137" s="704" t="s">
        <v>519</v>
      </c>
      <c r="E137" s="704">
        <v>1</v>
      </c>
      <c r="F137" s="704">
        <v>100</v>
      </c>
      <c r="H137">
        <f t="shared" si="37"/>
        <v>845</v>
      </c>
      <c r="I137" t="str">
        <f t="shared" si="38"/>
        <v>Rest of NT</v>
      </c>
      <c r="J137" t="s">
        <v>558</v>
      </c>
      <c r="K137" s="1" t="s">
        <v>497</v>
      </c>
      <c r="O137" s="704" t="s">
        <v>527</v>
      </c>
      <c r="P137" s="729"/>
      <c r="Q137" s="729"/>
      <c r="R137" s="729">
        <v>727.26595872571625</v>
      </c>
      <c r="S137" s="729">
        <v>751.17716264232752</v>
      </c>
      <c r="T137" s="729">
        <v>794.65509750445267</v>
      </c>
      <c r="U137" s="729">
        <v>854.69947507095083</v>
      </c>
      <c r="V137" s="729">
        <v>941.9040312894889</v>
      </c>
      <c r="W137" s="729">
        <v>1015.9248324235871</v>
      </c>
      <c r="X137" s="729">
        <v>1104.8543630065287</v>
      </c>
      <c r="Y137" s="729">
        <v>1151.9366432348895</v>
      </c>
      <c r="Z137" s="729">
        <v>1206.9798264015117</v>
      </c>
      <c r="AA137" s="729">
        <v>1338.4305363011013</v>
      </c>
      <c r="AB137" s="729">
        <v>1493.8138789567422</v>
      </c>
      <c r="AC137" s="729">
        <v>1530.8500631577742</v>
      </c>
    </row>
    <row r="138" spans="1:45" x14ac:dyDescent="0.2">
      <c r="A138" s="704" t="s">
        <v>559</v>
      </c>
      <c r="B138" s="704" t="s">
        <v>559</v>
      </c>
      <c r="C138" s="704" t="s">
        <v>529</v>
      </c>
      <c r="D138" s="704" t="s">
        <v>519</v>
      </c>
      <c r="E138" s="704">
        <v>1</v>
      </c>
      <c r="F138" s="704">
        <v>100</v>
      </c>
      <c r="H138">
        <f t="shared" si="37"/>
        <v>846</v>
      </c>
      <c r="I138" t="str">
        <f t="shared" si="38"/>
        <v>Rest of NT</v>
      </c>
      <c r="J138" t="s">
        <v>560</v>
      </c>
      <c r="K138" s="1" t="s">
        <v>561</v>
      </c>
      <c r="O138" s="704" t="s">
        <v>531</v>
      </c>
      <c r="P138" s="729"/>
      <c r="Q138" s="729"/>
      <c r="R138" s="729">
        <v>805.54183409863469</v>
      </c>
      <c r="S138" s="729">
        <v>829.54620407775519</v>
      </c>
      <c r="T138" s="729">
        <v>873.19354663419108</v>
      </c>
      <c r="U138" s="729">
        <v>933.4718802380952</v>
      </c>
      <c r="V138" s="729">
        <v>1021.0162202489987</v>
      </c>
      <c r="W138" s="729">
        <v>1095.325433413512</v>
      </c>
      <c r="X138" s="729">
        <v>1184.6014695545207</v>
      </c>
      <c r="Y138" s="729">
        <v>1231.8671990611044</v>
      </c>
      <c r="Z138" s="729">
        <v>1287.124850626325</v>
      </c>
      <c r="AA138" s="729">
        <v>1419.0877430052062</v>
      </c>
      <c r="AB138" s="729">
        <v>1575.0765208966147</v>
      </c>
      <c r="AC138" s="729">
        <v>1612.2570096483357</v>
      </c>
    </row>
    <row r="139" spans="1:45" ht="28.5" x14ac:dyDescent="0.45">
      <c r="A139" s="704" t="s">
        <v>562</v>
      </c>
      <c r="B139" s="704" t="s">
        <v>562</v>
      </c>
      <c r="C139" s="704" t="s">
        <v>529</v>
      </c>
      <c r="D139" s="704" t="s">
        <v>519</v>
      </c>
      <c r="E139" s="704">
        <v>1</v>
      </c>
      <c r="F139" s="704">
        <v>100</v>
      </c>
      <c r="H139">
        <f t="shared" si="37"/>
        <v>847</v>
      </c>
      <c r="I139" t="str">
        <f t="shared" si="38"/>
        <v>Rest of NT</v>
      </c>
      <c r="O139" s="704" t="s">
        <v>534</v>
      </c>
      <c r="P139" s="729"/>
      <c r="Q139" s="729"/>
      <c r="R139" s="729"/>
      <c r="S139" s="729">
        <v>898.59512136185811</v>
      </c>
      <c r="T139" s="729">
        <v>942.3909369125729</v>
      </c>
      <c r="U139" s="729">
        <v>1002.8743147987631</v>
      </c>
      <c r="V139" s="729">
        <v>1090.7164486797519</v>
      </c>
      <c r="W139" s="729">
        <v>1165.278436572657</v>
      </c>
      <c r="X139" s="729">
        <v>1254.8581574398147</v>
      </c>
      <c r="Y139" s="729">
        <v>1302.2846671372938</v>
      </c>
      <c r="Z139" s="729">
        <v>1357.7302834789102</v>
      </c>
      <c r="AA139" s="729">
        <v>1490.1420697296753</v>
      </c>
      <c r="AB139" s="729">
        <v>1646.6614628283685</v>
      </c>
      <c r="AC139" s="729">
        <v>1683.9684250957805</v>
      </c>
      <c r="AE139" s="706" t="s">
        <v>487</v>
      </c>
      <c r="AF139" s="732"/>
      <c r="AG139" s="732"/>
      <c r="AH139" s="732"/>
      <c r="AI139" s="732"/>
      <c r="AJ139" s="732"/>
      <c r="AK139" s="732"/>
      <c r="AL139" s="732"/>
      <c r="AM139" s="732"/>
      <c r="AN139" s="732"/>
      <c r="AO139" s="732"/>
      <c r="AP139" s="732"/>
      <c r="AQ139" s="732"/>
      <c r="AR139" s="732"/>
      <c r="AS139" s="732"/>
    </row>
    <row r="140" spans="1:45" x14ac:dyDescent="0.2">
      <c r="A140" s="704" t="s">
        <v>563</v>
      </c>
      <c r="B140" s="704" t="s">
        <v>563</v>
      </c>
      <c r="C140" s="704" t="s">
        <v>529</v>
      </c>
      <c r="D140" s="704" t="s">
        <v>519</v>
      </c>
      <c r="E140" s="704">
        <v>1</v>
      </c>
      <c r="F140" s="704">
        <v>100</v>
      </c>
      <c r="H140">
        <f t="shared" si="37"/>
        <v>850</v>
      </c>
      <c r="I140" t="str">
        <f t="shared" si="38"/>
        <v>Rest of NT</v>
      </c>
      <c r="O140" s="704"/>
      <c r="P140" s="729"/>
      <c r="Q140" s="729"/>
      <c r="R140" s="729"/>
      <c r="S140" s="729"/>
      <c r="T140" s="729"/>
      <c r="U140" s="729"/>
      <c r="V140" s="729"/>
      <c r="W140" s="729"/>
      <c r="X140" s="729"/>
      <c r="Y140" s="729"/>
      <c r="Z140" s="729"/>
      <c r="AA140" s="729"/>
      <c r="AB140" s="729"/>
      <c r="AC140" s="729"/>
      <c r="AE140" t="s">
        <v>524</v>
      </c>
      <c r="AF140" s="732"/>
      <c r="AG140" s="732"/>
      <c r="AH140" s="732"/>
      <c r="AI140" s="732"/>
      <c r="AJ140" s="732"/>
      <c r="AK140" s="732"/>
      <c r="AL140" s="732"/>
      <c r="AM140" s="732"/>
      <c r="AN140" s="732"/>
      <c r="AO140" s="732"/>
      <c r="AP140" s="732"/>
      <c r="AQ140" s="732"/>
      <c r="AR140" s="732"/>
      <c r="AS140" s="732"/>
    </row>
    <row r="141" spans="1:45" x14ac:dyDescent="0.2">
      <c r="A141" s="704" t="s">
        <v>564</v>
      </c>
      <c r="B141" s="704" t="s">
        <v>564</v>
      </c>
      <c r="C141" s="704" t="s">
        <v>565</v>
      </c>
      <c r="D141" s="704" t="s">
        <v>521</v>
      </c>
      <c r="E141" s="704">
        <v>1.1770999999999999E-3</v>
      </c>
      <c r="F141" s="704">
        <v>0.11770899999999999</v>
      </c>
      <c r="H141">
        <f t="shared" si="37"/>
        <v>852</v>
      </c>
      <c r="I141" t="str">
        <f t="shared" si="38"/>
        <v>Rest of WA</v>
      </c>
      <c r="O141" s="704" t="s">
        <v>535</v>
      </c>
      <c r="P141" s="729">
        <v>312.71429925986797</v>
      </c>
      <c r="Q141" s="729">
        <v>329.85555488004417</v>
      </c>
      <c r="R141" s="729">
        <v>346.00387906194021</v>
      </c>
      <c r="S141" s="729">
        <v>369.70766205063813</v>
      </c>
      <c r="T141" s="729">
        <v>412.80844234326213</v>
      </c>
      <c r="U141" s="729">
        <v>472.33195620578942</v>
      </c>
      <c r="V141" s="729">
        <v>558.7800468116518</v>
      </c>
      <c r="W141" s="729">
        <v>632.15874383675543</v>
      </c>
      <c r="X141" s="729">
        <v>720.3168437591379</v>
      </c>
      <c r="Y141" s="729">
        <v>766.9907015336363</v>
      </c>
      <c r="Z141" s="729">
        <v>821.55640516424944</v>
      </c>
      <c r="AA141" s="729">
        <v>951.8668285835904</v>
      </c>
      <c r="AB141" s="729">
        <v>1105.9022792391113</v>
      </c>
      <c r="AC141" s="729">
        <v>1142.6171860158697</v>
      </c>
      <c r="AE141" t="s">
        <v>528</v>
      </c>
      <c r="AF141" s="732">
        <f>MAX(P151-P150,0)</f>
        <v>0</v>
      </c>
      <c r="AG141" s="732">
        <f t="shared" ref="AG141:AS141" si="44">MAX(Q151-Q150,0)</f>
        <v>0</v>
      </c>
      <c r="AH141" s="732">
        <f t="shared" si="44"/>
        <v>0</v>
      </c>
      <c r="AI141" s="732">
        <f t="shared" si="44"/>
        <v>69.118138167689494</v>
      </c>
      <c r="AJ141" s="732">
        <f t="shared" si="44"/>
        <v>69.266612303519082</v>
      </c>
      <c r="AK141" s="732">
        <f t="shared" si="44"/>
        <v>69.471657209340492</v>
      </c>
      <c r="AL141" s="732">
        <f t="shared" si="44"/>
        <v>69.769451323954172</v>
      </c>
      <c r="AM141" s="732">
        <f t="shared" si="44"/>
        <v>70.022225566089446</v>
      </c>
      <c r="AN141" s="732">
        <f t="shared" si="44"/>
        <v>70.325908394898079</v>
      </c>
      <c r="AO141" s="732">
        <f t="shared" si="44"/>
        <v>70.486690582785968</v>
      </c>
      <c r="AP141" s="732">
        <f t="shared" si="44"/>
        <v>70.674657382157875</v>
      </c>
      <c r="AQ141" s="732">
        <f t="shared" si="44"/>
        <v>71.123545801493037</v>
      </c>
      <c r="AR141" s="732">
        <f t="shared" si="44"/>
        <v>71.654162721515604</v>
      </c>
      <c r="AS141" s="732">
        <f t="shared" si="44"/>
        <v>71.780636117664926</v>
      </c>
    </row>
    <row r="142" spans="1:45" x14ac:dyDescent="0.2">
      <c r="A142" s="704" t="s">
        <v>564</v>
      </c>
      <c r="B142" s="704" t="s">
        <v>564</v>
      </c>
      <c r="C142" s="704" t="s">
        <v>529</v>
      </c>
      <c r="D142" s="704" t="s">
        <v>519</v>
      </c>
      <c r="E142" s="704">
        <v>0.99881900000000001</v>
      </c>
      <c r="F142" s="704">
        <v>99.881900000000002</v>
      </c>
      <c r="H142">
        <f t="shared" si="37"/>
        <v>852</v>
      </c>
      <c r="I142" t="str">
        <f t="shared" si="38"/>
        <v>Rest of NT</v>
      </c>
      <c r="O142" s="704" t="s">
        <v>542</v>
      </c>
      <c r="P142" s="729"/>
      <c r="Q142" s="729">
        <v>429.45830404830633</v>
      </c>
      <c r="R142" s="729">
        <v>445.50609323763439</v>
      </c>
      <c r="S142" s="729">
        <v>469.0623023627835</v>
      </c>
      <c r="T142" s="729">
        <v>511.89474740360362</v>
      </c>
      <c r="U142" s="729">
        <v>571.04768136756923</v>
      </c>
      <c r="V142" s="729">
        <v>656.957566625205</v>
      </c>
      <c r="W142" s="729">
        <v>729.87942567438847</v>
      </c>
      <c r="X142" s="729">
        <v>817.48867557306255</v>
      </c>
      <c r="Y142" s="729">
        <v>863.87195430257634</v>
      </c>
      <c r="Z142" s="729">
        <v>918.09794386277201</v>
      </c>
      <c r="AA142" s="729">
        <v>1047.5970849740772</v>
      </c>
      <c r="AB142" s="729">
        <v>1200.6735477138989</v>
      </c>
      <c r="AC142" s="729">
        <v>1237.1598764744333</v>
      </c>
      <c r="AF142" s="732"/>
      <c r="AG142" s="732"/>
      <c r="AH142" s="732"/>
      <c r="AI142" s="732"/>
      <c r="AJ142" s="732"/>
      <c r="AK142" s="732"/>
      <c r="AL142" s="732"/>
      <c r="AM142" s="732"/>
      <c r="AN142" s="732"/>
      <c r="AO142" s="732"/>
      <c r="AP142" s="732"/>
      <c r="AQ142" s="732"/>
      <c r="AR142" s="732"/>
      <c r="AS142" s="732"/>
    </row>
    <row r="143" spans="1:45" x14ac:dyDescent="0.2">
      <c r="A143" s="704" t="s">
        <v>566</v>
      </c>
      <c r="B143" s="704" t="s">
        <v>566</v>
      </c>
      <c r="C143" s="704" t="s">
        <v>529</v>
      </c>
      <c r="D143" s="704" t="s">
        <v>519</v>
      </c>
      <c r="E143" s="704">
        <v>1</v>
      </c>
      <c r="F143" s="704">
        <v>100</v>
      </c>
      <c r="H143">
        <f t="shared" si="37"/>
        <v>853</v>
      </c>
      <c r="I143" t="str">
        <f t="shared" si="38"/>
        <v>Rest of NT</v>
      </c>
      <c r="O143" s="704" t="s">
        <v>545</v>
      </c>
      <c r="P143" s="729"/>
      <c r="Q143" s="729">
        <v>547.20694039213856</v>
      </c>
      <c r="R143" s="729">
        <v>563.26599674234615</v>
      </c>
      <c r="S143" s="729">
        <v>586.8387402094877</v>
      </c>
      <c r="T143" s="729">
        <v>629.70125484887603</v>
      </c>
      <c r="U143" s="729">
        <v>688.89571430581566</v>
      </c>
      <c r="V143" s="729">
        <v>774.86591128670705</v>
      </c>
      <c r="W143" s="729">
        <v>847.83895938956232</v>
      </c>
      <c r="X143" s="729">
        <v>935.5097109282176</v>
      </c>
      <c r="Y143" s="729">
        <v>981.92555143660081</v>
      </c>
      <c r="Z143" s="729">
        <v>1036.1896051742115</v>
      </c>
      <c r="AA143" s="729">
        <v>1165.7796546220702</v>
      </c>
      <c r="AB143" s="729">
        <v>1318.9635811111241</v>
      </c>
      <c r="AC143" s="729">
        <v>1355.4755232863984</v>
      </c>
      <c r="AE143" t="s">
        <v>535</v>
      </c>
      <c r="AF143" s="732"/>
      <c r="AG143" s="732"/>
      <c r="AH143" s="732"/>
      <c r="AI143" s="732"/>
      <c r="AJ143" s="732"/>
      <c r="AK143" s="732"/>
      <c r="AL143" s="732"/>
      <c r="AM143" s="732"/>
      <c r="AN143" s="732"/>
      <c r="AO143" s="732"/>
      <c r="AP143" s="732"/>
      <c r="AQ143" s="732"/>
      <c r="AR143" s="732"/>
      <c r="AS143" s="732"/>
    </row>
    <row r="144" spans="1:45" x14ac:dyDescent="0.2">
      <c r="A144" s="704" t="s">
        <v>567</v>
      </c>
      <c r="B144" s="704" t="s">
        <v>567</v>
      </c>
      <c r="C144" s="704" t="s">
        <v>529</v>
      </c>
      <c r="D144" s="704" t="s">
        <v>519</v>
      </c>
      <c r="E144" s="704">
        <v>1</v>
      </c>
      <c r="F144" s="704">
        <v>100</v>
      </c>
      <c r="H144">
        <f t="shared" si="37"/>
        <v>854</v>
      </c>
      <c r="I144" t="str">
        <f t="shared" si="38"/>
        <v>Rest of NT</v>
      </c>
      <c r="O144" s="704" t="s">
        <v>548</v>
      </c>
      <c r="P144" s="729"/>
      <c r="Q144" s="729"/>
      <c r="R144" s="729">
        <v>681.02590024705796</v>
      </c>
      <c r="S144" s="729">
        <v>704.61517805619189</v>
      </c>
      <c r="T144" s="729">
        <v>747.50776229414851</v>
      </c>
      <c r="U144" s="729">
        <v>806.74374724406209</v>
      </c>
      <c r="V144" s="729">
        <v>892.77425594820909</v>
      </c>
      <c r="W144" s="729">
        <v>965.79849310473617</v>
      </c>
      <c r="X144" s="729">
        <v>1053.5307462833725</v>
      </c>
      <c r="Y144" s="729">
        <v>1099.9791485706253</v>
      </c>
      <c r="Z144" s="729">
        <v>1154.281266485651</v>
      </c>
      <c r="AA144" s="729">
        <v>1283.9622242700632</v>
      </c>
      <c r="AB144" s="729">
        <v>1437.2536145083493</v>
      </c>
      <c r="AC144" s="729">
        <v>1473.7911700983634</v>
      </c>
      <c r="AE144" t="s">
        <v>528</v>
      </c>
      <c r="AF144" s="732">
        <f>MAX(P156-P155,0)</f>
        <v>0</v>
      </c>
      <c r="AG144" s="732">
        <f t="shared" ref="AG144:AS144" si="45">MAX(Q156-Q155,0)</f>
        <v>0</v>
      </c>
      <c r="AH144" s="732">
        <f t="shared" si="45"/>
        <v>117.77392250909145</v>
      </c>
      <c r="AI144" s="732">
        <f t="shared" si="45"/>
        <v>117.79045831070835</v>
      </c>
      <c r="AJ144" s="732">
        <f t="shared" si="45"/>
        <v>117.82052722057188</v>
      </c>
      <c r="AK144" s="732">
        <f t="shared" si="45"/>
        <v>117.86205270155278</v>
      </c>
      <c r="AL144" s="732">
        <f t="shared" si="45"/>
        <v>117.92236295466193</v>
      </c>
      <c r="AM144" s="732">
        <f t="shared" si="45"/>
        <v>117.97355451769226</v>
      </c>
      <c r="AN144" s="732">
        <f t="shared" si="45"/>
        <v>118.03505698816036</v>
      </c>
      <c r="AO144" s="732">
        <f t="shared" si="45"/>
        <v>118.06762110345903</v>
      </c>
      <c r="AP144" s="732">
        <f t="shared" si="45"/>
        <v>118.1056872899137</v>
      </c>
      <c r="AQ144" s="732">
        <f t="shared" si="45"/>
        <v>118.19659636542178</v>
      </c>
      <c r="AR144" s="732">
        <f t="shared" si="45"/>
        <v>118.30405866739102</v>
      </c>
      <c r="AS144" s="732">
        <f t="shared" si="45"/>
        <v>118.32966904107093</v>
      </c>
    </row>
    <row r="145" spans="1:45" x14ac:dyDescent="0.2">
      <c r="A145" s="704" t="s">
        <v>568</v>
      </c>
      <c r="B145" s="704" t="s">
        <v>568</v>
      </c>
      <c r="C145" s="704" t="s">
        <v>529</v>
      </c>
      <c r="D145" s="704" t="s">
        <v>519</v>
      </c>
      <c r="E145" s="704">
        <v>1</v>
      </c>
      <c r="F145" s="704">
        <v>100</v>
      </c>
      <c r="H145">
        <f t="shared" si="37"/>
        <v>860</v>
      </c>
      <c r="I145" t="str">
        <f t="shared" si="38"/>
        <v>Rest of NT</v>
      </c>
      <c r="O145" s="704"/>
      <c r="P145" s="729"/>
      <c r="Q145" s="729"/>
      <c r="R145" s="729"/>
      <c r="S145" s="729"/>
      <c r="T145" s="729"/>
      <c r="U145" s="729"/>
      <c r="V145" s="729"/>
      <c r="W145" s="729"/>
      <c r="X145" s="729"/>
      <c r="Y145" s="729"/>
      <c r="Z145" s="729"/>
      <c r="AA145" s="729"/>
      <c r="AB145" s="729"/>
      <c r="AC145" s="729"/>
    </row>
    <row r="146" spans="1:45" x14ac:dyDescent="0.2">
      <c r="A146" s="704" t="s">
        <v>569</v>
      </c>
      <c r="B146" s="704" t="s">
        <v>569</v>
      </c>
      <c r="C146" s="704" t="s">
        <v>529</v>
      </c>
      <c r="D146" s="704" t="s">
        <v>519</v>
      </c>
      <c r="E146" s="704">
        <v>1</v>
      </c>
      <c r="F146" s="704">
        <v>100</v>
      </c>
      <c r="H146">
        <f t="shared" si="37"/>
        <v>862</v>
      </c>
      <c r="I146" t="str">
        <f t="shared" si="38"/>
        <v>Rest of NT</v>
      </c>
      <c r="O146" s="704"/>
      <c r="P146" s="729"/>
      <c r="Q146" s="729"/>
      <c r="R146" s="729"/>
      <c r="S146" s="729"/>
      <c r="T146" s="729"/>
      <c r="U146" s="729"/>
      <c r="V146" s="729"/>
      <c r="W146" s="729"/>
      <c r="X146" s="729"/>
      <c r="Y146" s="729"/>
      <c r="Z146" s="729"/>
      <c r="AA146" s="729"/>
      <c r="AB146" s="729"/>
      <c r="AC146" s="729"/>
    </row>
    <row r="147" spans="1:45" ht="28.5" x14ac:dyDescent="0.45">
      <c r="A147" s="704" t="s">
        <v>570</v>
      </c>
      <c r="B147" s="704" t="s">
        <v>570</v>
      </c>
      <c r="C147" s="704" t="s">
        <v>529</v>
      </c>
      <c r="D147" s="704" t="s">
        <v>519</v>
      </c>
      <c r="E147" s="704">
        <v>1</v>
      </c>
      <c r="F147" s="704">
        <v>100</v>
      </c>
      <c r="H147">
        <f t="shared" si="37"/>
        <v>870</v>
      </c>
      <c r="I147" t="str">
        <f t="shared" si="38"/>
        <v>Rest of NT</v>
      </c>
      <c r="O147" s="705" t="s">
        <v>487</v>
      </c>
      <c r="P147" s="729"/>
      <c r="Q147" s="729"/>
      <c r="R147" s="729"/>
      <c r="S147" s="729"/>
      <c r="T147" s="729"/>
      <c r="U147" s="729"/>
      <c r="V147" s="729"/>
      <c r="W147" s="729"/>
      <c r="X147" s="729"/>
      <c r="Y147" s="729"/>
      <c r="Z147" s="729"/>
      <c r="AA147" s="729"/>
      <c r="AB147" s="729"/>
      <c r="AC147" s="729"/>
      <c r="AE147" s="706" t="s">
        <v>488</v>
      </c>
      <c r="AF147" s="732"/>
      <c r="AG147" s="732"/>
      <c r="AH147" s="732"/>
      <c r="AI147" s="732"/>
      <c r="AJ147" s="732"/>
      <c r="AK147" s="732"/>
      <c r="AL147" s="732"/>
      <c r="AM147" s="732"/>
      <c r="AN147" s="732"/>
      <c r="AO147" s="732"/>
      <c r="AP147" s="732"/>
      <c r="AQ147" s="732"/>
      <c r="AR147" s="732"/>
      <c r="AS147" s="732"/>
    </row>
    <row r="148" spans="1:45" x14ac:dyDescent="0.2">
      <c r="A148" s="704" t="s">
        <v>571</v>
      </c>
      <c r="B148" s="704" t="s">
        <v>571</v>
      </c>
      <c r="C148" s="704" t="s">
        <v>572</v>
      </c>
      <c r="D148" s="704" t="s">
        <v>523</v>
      </c>
      <c r="E148" s="704">
        <v>0.11594500000000001</v>
      </c>
      <c r="F148" s="704">
        <v>11.5945</v>
      </c>
      <c r="H148">
        <f t="shared" si="37"/>
        <v>872</v>
      </c>
      <c r="I148" t="str">
        <f t="shared" si="38"/>
        <v>Rest of SA</v>
      </c>
      <c r="O148" s="704" t="s">
        <v>524</v>
      </c>
      <c r="P148" s="729"/>
      <c r="Q148" s="729">
        <v>636.5749508786057</v>
      </c>
      <c r="R148" s="729">
        <v>652.88005438802702</v>
      </c>
      <c r="S148" s="729">
        <v>676.81396993914336</v>
      </c>
      <c r="T148" s="729">
        <v>720.3332033050076</v>
      </c>
      <c r="U148" s="729">
        <v>780.43461219008236</v>
      </c>
      <c r="V148" s="729">
        <v>867.72200045670468</v>
      </c>
      <c r="W148" s="729">
        <v>941.81310919687598</v>
      </c>
      <c r="X148" s="729">
        <v>1030.82711066306</v>
      </c>
      <c r="Y148" s="729">
        <v>1077.9541100338035</v>
      </c>
      <c r="Z148" s="729">
        <v>1133.0495739939033</v>
      </c>
      <c r="AA148" s="729">
        <v>1264.6251434119679</v>
      </c>
      <c r="AB148" s="729">
        <v>1420.1560769450159</v>
      </c>
      <c r="AC148" s="729">
        <v>1457.2274363071283</v>
      </c>
      <c r="AE148" t="s">
        <v>524</v>
      </c>
      <c r="AF148" s="732"/>
      <c r="AG148" s="732"/>
      <c r="AH148" s="732"/>
      <c r="AI148" s="732"/>
      <c r="AJ148" s="732"/>
      <c r="AK148" s="732"/>
      <c r="AL148" s="732"/>
      <c r="AM148" s="732"/>
      <c r="AN148" s="732"/>
      <c r="AO148" s="732"/>
      <c r="AP148" s="732"/>
      <c r="AQ148" s="732"/>
      <c r="AR148" s="732"/>
      <c r="AS148" s="732"/>
    </row>
    <row r="149" spans="1:45" x14ac:dyDescent="0.2">
      <c r="A149" s="704" t="s">
        <v>571</v>
      </c>
      <c r="B149" s="704" t="s">
        <v>571</v>
      </c>
      <c r="C149" s="704" t="s">
        <v>565</v>
      </c>
      <c r="D149" s="704" t="s">
        <v>521</v>
      </c>
      <c r="E149" s="704">
        <v>8.2719600000000004E-2</v>
      </c>
      <c r="F149" s="704">
        <v>8.27196</v>
      </c>
      <c r="H149">
        <f t="shared" si="37"/>
        <v>872</v>
      </c>
      <c r="I149" t="str">
        <f t="shared" si="38"/>
        <v>Rest of WA</v>
      </c>
      <c r="O149" s="704" t="s">
        <v>527</v>
      </c>
      <c r="P149" s="729"/>
      <c r="Q149" s="729"/>
      <c r="R149" s="729">
        <v>747.53648536069522</v>
      </c>
      <c r="S149" s="729">
        <v>771.44768702483145</v>
      </c>
      <c r="T149" s="729">
        <v>814.92562247201511</v>
      </c>
      <c r="U149" s="729">
        <v>874.9700002579101</v>
      </c>
      <c r="V149" s="729">
        <v>962.17455979665476</v>
      </c>
      <c r="W149" s="729">
        <v>1036.1953578591961</v>
      </c>
      <c r="X149" s="729">
        <v>1125.1248905483483</v>
      </c>
      <c r="Y149" s="729">
        <v>1172.2071702794092</v>
      </c>
      <c r="Z149" s="729">
        <v>1227.2503489995877</v>
      </c>
      <c r="AA149" s="729">
        <v>1358.7010633456209</v>
      </c>
      <c r="AB149" s="729">
        <v>1514.0844074054019</v>
      </c>
      <c r="AC149" s="729">
        <v>1551.1205845272273</v>
      </c>
      <c r="AE149" t="s">
        <v>528</v>
      </c>
      <c r="AF149" s="732">
        <f>MAX(P163-P162,0)</f>
        <v>0</v>
      </c>
      <c r="AG149" s="732">
        <f t="shared" ref="AG149:AS149" si="46">MAX(Q163-Q162,0)</f>
        <v>0</v>
      </c>
      <c r="AH149" s="732">
        <f t="shared" si="46"/>
        <v>0</v>
      </c>
      <c r="AI149" s="732">
        <f t="shared" si="46"/>
        <v>69.074312580076025</v>
      </c>
      <c r="AJ149" s="732">
        <f t="shared" si="46"/>
        <v>69.222784204345771</v>
      </c>
      <c r="AK149" s="732">
        <f t="shared" si="46"/>
        <v>69.427830966782835</v>
      </c>
      <c r="AL149" s="732">
        <f t="shared" si="46"/>
        <v>69.725624646365986</v>
      </c>
      <c r="AM149" s="732">
        <f t="shared" si="46"/>
        <v>69.978398316140783</v>
      </c>
      <c r="AN149" s="732">
        <f t="shared" si="46"/>
        <v>70.2820806016191</v>
      </c>
      <c r="AO149" s="732">
        <f t="shared" si="46"/>
        <v>70.442861289765233</v>
      </c>
      <c r="AP149" s="732">
        <f t="shared" si="46"/>
        <v>70.630831443147827</v>
      </c>
      <c r="AQ149" s="732">
        <f t="shared" si="46"/>
        <v>71.079720151535184</v>
      </c>
      <c r="AR149" s="732">
        <f t="shared" si="46"/>
        <v>71.610334625389214</v>
      </c>
      <c r="AS149" s="732">
        <f t="shared" si="46"/>
        <v>71.736813579937916</v>
      </c>
    </row>
    <row r="150" spans="1:45" x14ac:dyDescent="0.2">
      <c r="A150" s="704" t="s">
        <v>571</v>
      </c>
      <c r="B150" s="704" t="s">
        <v>571</v>
      </c>
      <c r="C150" s="704" t="s">
        <v>529</v>
      </c>
      <c r="D150" s="704" t="s">
        <v>519</v>
      </c>
      <c r="E150" s="704">
        <v>0.80133500000000002</v>
      </c>
      <c r="F150" s="704">
        <v>80.133499999999998</v>
      </c>
      <c r="H150">
        <f t="shared" si="37"/>
        <v>872</v>
      </c>
      <c r="I150" t="str">
        <f t="shared" si="38"/>
        <v>Rest of NT</v>
      </c>
      <c r="O150" s="704" t="s">
        <v>531</v>
      </c>
      <c r="P150" s="729"/>
      <c r="Q150" s="729"/>
      <c r="R150" s="729">
        <v>825.89134191201424</v>
      </c>
      <c r="S150" s="729">
        <v>849.89571316849219</v>
      </c>
      <c r="T150" s="729">
        <v>893.54305461256274</v>
      </c>
      <c r="U150" s="729">
        <v>953.82138820582213</v>
      </c>
      <c r="V150" s="729">
        <v>1041.3657271841951</v>
      </c>
      <c r="W150" s="729">
        <v>1115.6749414770409</v>
      </c>
      <c r="X150" s="729">
        <v>1204.9509768303453</v>
      </c>
      <c r="Y150" s="729">
        <v>1252.2167057408292</v>
      </c>
      <c r="Z150" s="729">
        <v>1307.4743586685647</v>
      </c>
      <c r="AA150" s="729">
        <v>1439.4372520054637</v>
      </c>
      <c r="AB150" s="729">
        <v>1595.4260285343573</v>
      </c>
      <c r="AC150" s="729">
        <v>1632.6065182228076</v>
      </c>
      <c r="AF150" s="732"/>
      <c r="AG150" s="732"/>
      <c r="AH150" s="732"/>
      <c r="AI150" s="732"/>
      <c r="AJ150" s="732"/>
      <c r="AK150" s="732"/>
      <c r="AL150" s="732"/>
      <c r="AM150" s="732"/>
      <c r="AN150" s="732"/>
      <c r="AO150" s="732"/>
      <c r="AP150" s="732"/>
      <c r="AQ150" s="732"/>
      <c r="AR150" s="732"/>
      <c r="AS150" s="732"/>
    </row>
    <row r="151" spans="1:45" x14ac:dyDescent="0.2">
      <c r="A151" s="704" t="s">
        <v>573</v>
      </c>
      <c r="B151" s="704" t="s">
        <v>573</v>
      </c>
      <c r="C151" s="704" t="s">
        <v>529</v>
      </c>
      <c r="D151" s="704" t="s">
        <v>519</v>
      </c>
      <c r="E151" s="704">
        <v>1</v>
      </c>
      <c r="F151" s="704">
        <v>100</v>
      </c>
      <c r="H151">
        <f t="shared" si="37"/>
        <v>880</v>
      </c>
      <c r="I151" t="str">
        <f t="shared" si="38"/>
        <v>Rest of NT</v>
      </c>
      <c r="O151" s="704" t="s">
        <v>534</v>
      </c>
      <c r="P151" s="729"/>
      <c r="Q151" s="729"/>
      <c r="R151" s="729"/>
      <c r="S151" s="729">
        <v>919.01385133618169</v>
      </c>
      <c r="T151" s="729">
        <v>962.80966691608182</v>
      </c>
      <c r="U151" s="729">
        <v>1023.2930454151626</v>
      </c>
      <c r="V151" s="729">
        <v>1111.1351785081492</v>
      </c>
      <c r="W151" s="729">
        <v>1185.6971670431303</v>
      </c>
      <c r="X151" s="729">
        <v>1275.2768852252434</v>
      </c>
      <c r="Y151" s="729">
        <v>1322.7033963236152</v>
      </c>
      <c r="Z151" s="729">
        <v>1378.1490160507226</v>
      </c>
      <c r="AA151" s="729">
        <v>1510.5607978069568</v>
      </c>
      <c r="AB151" s="729">
        <v>1667.0801912558729</v>
      </c>
      <c r="AC151" s="729">
        <v>1704.3871543404725</v>
      </c>
      <c r="AE151" t="s">
        <v>535</v>
      </c>
      <c r="AF151" s="732"/>
      <c r="AG151" s="732"/>
      <c r="AH151" s="732"/>
      <c r="AI151" s="732"/>
      <c r="AJ151" s="732"/>
      <c r="AK151" s="732"/>
      <c r="AL151" s="732"/>
      <c r="AM151" s="732"/>
      <c r="AN151" s="732"/>
      <c r="AO151" s="732"/>
      <c r="AP151" s="732"/>
      <c r="AQ151" s="732"/>
      <c r="AR151" s="732"/>
      <c r="AS151" s="732"/>
    </row>
    <row r="152" spans="1:45" x14ac:dyDescent="0.2">
      <c r="A152" s="704" t="s">
        <v>574</v>
      </c>
      <c r="B152" s="704" t="s">
        <v>574</v>
      </c>
      <c r="C152" s="704" t="s">
        <v>529</v>
      </c>
      <c r="D152" s="704" t="s">
        <v>519</v>
      </c>
      <c r="E152" s="704">
        <v>1</v>
      </c>
      <c r="F152" s="704">
        <v>100</v>
      </c>
      <c r="H152">
        <f t="shared" si="37"/>
        <v>885</v>
      </c>
      <c r="I152" t="str">
        <f t="shared" si="38"/>
        <v>Rest of NT</v>
      </c>
      <c r="O152" s="704"/>
      <c r="P152" s="729"/>
      <c r="Q152" s="729"/>
      <c r="R152" s="729"/>
      <c r="S152" s="729"/>
      <c r="T152" s="729"/>
      <c r="U152" s="729"/>
      <c r="V152" s="729"/>
      <c r="W152" s="729"/>
      <c r="X152" s="729"/>
      <c r="Y152" s="729"/>
      <c r="Z152" s="729"/>
      <c r="AA152" s="729"/>
      <c r="AB152" s="729"/>
      <c r="AC152" s="729"/>
      <c r="AE152" t="s">
        <v>528</v>
      </c>
      <c r="AF152" s="732">
        <f>MAX(P168-P167,0)</f>
        <v>0</v>
      </c>
      <c r="AG152" s="732">
        <f t="shared" ref="AG152:AS152" si="47">MAX(Q168-Q167,0)</f>
        <v>0</v>
      </c>
      <c r="AH152" s="732">
        <f t="shared" si="47"/>
        <v>117.76504564789457</v>
      </c>
      <c r="AI152" s="732">
        <f t="shared" si="47"/>
        <v>117.78158439349238</v>
      </c>
      <c r="AJ152" s="732">
        <f t="shared" si="47"/>
        <v>117.81165138308972</v>
      </c>
      <c r="AK152" s="732">
        <f t="shared" si="47"/>
        <v>117.85317654442474</v>
      </c>
      <c r="AL152" s="732">
        <f t="shared" si="47"/>
        <v>117.91348606781366</v>
      </c>
      <c r="AM152" s="732">
        <f t="shared" si="47"/>
        <v>117.96467722971875</v>
      </c>
      <c r="AN152" s="732">
        <f t="shared" si="47"/>
        <v>118.02618280417425</v>
      </c>
      <c r="AO152" s="732">
        <f t="shared" si="47"/>
        <v>118.05873908873002</v>
      </c>
      <c r="AP152" s="732">
        <f t="shared" si="47"/>
        <v>118.09681085567763</v>
      </c>
      <c r="AQ152" s="732">
        <f t="shared" si="47"/>
        <v>118.18771768555303</v>
      </c>
      <c r="AR152" s="732">
        <f t="shared" si="47"/>
        <v>118.29518007758293</v>
      </c>
      <c r="AS152" s="732">
        <f t="shared" si="47"/>
        <v>118.32079059632406</v>
      </c>
    </row>
    <row r="153" spans="1:45" x14ac:dyDescent="0.2">
      <c r="A153" s="704" t="s">
        <v>575</v>
      </c>
      <c r="B153" s="704" t="s">
        <v>575</v>
      </c>
      <c r="C153" s="704" t="s">
        <v>529</v>
      </c>
      <c r="D153" s="704" t="s">
        <v>519</v>
      </c>
      <c r="E153" s="704">
        <v>1</v>
      </c>
      <c r="F153" s="704">
        <v>100</v>
      </c>
      <c r="H153">
        <f t="shared" si="37"/>
        <v>886</v>
      </c>
      <c r="I153" t="str">
        <f t="shared" si="38"/>
        <v>Rest of NT</v>
      </c>
      <c r="O153" s="704" t="s">
        <v>535</v>
      </c>
      <c r="P153" s="729">
        <v>332.80898617064111</v>
      </c>
      <c r="Q153" s="729">
        <v>349.95024176214082</v>
      </c>
      <c r="R153" s="729">
        <v>366.09856587912606</v>
      </c>
      <c r="S153" s="729">
        <v>389.80234885636293</v>
      </c>
      <c r="T153" s="729">
        <v>432.90312973620524</v>
      </c>
      <c r="U153" s="729">
        <v>492.42664296775422</v>
      </c>
      <c r="V153" s="729">
        <v>578.87473352193797</v>
      </c>
      <c r="W153" s="729">
        <v>652.25342985688314</v>
      </c>
      <c r="X153" s="729">
        <v>740.41153083284121</v>
      </c>
      <c r="Y153" s="729">
        <v>787.08538854732558</v>
      </c>
      <c r="Z153" s="729">
        <v>841.65109231130282</v>
      </c>
      <c r="AA153" s="729">
        <v>971.96151635078627</v>
      </c>
      <c r="AB153" s="729">
        <v>1125.9969667662522</v>
      </c>
      <c r="AC153" s="729">
        <v>1162.7118712824911</v>
      </c>
    </row>
    <row r="154" spans="1:45" x14ac:dyDescent="0.2">
      <c r="A154" s="704" t="s">
        <v>576</v>
      </c>
      <c r="B154" s="704" t="s">
        <v>576</v>
      </c>
      <c r="C154" s="704" t="s">
        <v>514</v>
      </c>
      <c r="D154" s="704" t="s">
        <v>515</v>
      </c>
      <c r="E154" s="704">
        <v>1</v>
      </c>
      <c r="F154" s="704">
        <v>100</v>
      </c>
      <c r="H154">
        <f t="shared" si="37"/>
        <v>909</v>
      </c>
      <c r="I154" t="str">
        <f t="shared" si="38"/>
        <v>Greater Darwin</v>
      </c>
      <c r="O154" s="704" t="s">
        <v>542</v>
      </c>
      <c r="P154" s="729"/>
      <c r="Q154" s="729">
        <v>449.42788669960925</v>
      </c>
      <c r="R154" s="729">
        <v>465.47567595772909</v>
      </c>
      <c r="S154" s="729">
        <v>489.03188443426973</v>
      </c>
      <c r="T154" s="729">
        <v>531.86432904268418</v>
      </c>
      <c r="U154" s="729">
        <v>591.01726440214077</v>
      </c>
      <c r="V154" s="729">
        <v>676.92714903082287</v>
      </c>
      <c r="W154" s="729">
        <v>749.84900709726617</v>
      </c>
      <c r="X154" s="729">
        <v>837.45825731041703</v>
      </c>
      <c r="Y154" s="729">
        <v>883.84153313101967</v>
      </c>
      <c r="Z154" s="729">
        <v>938.06752316293068</v>
      </c>
      <c r="AA154" s="729">
        <v>1067.5666677334816</v>
      </c>
      <c r="AB154" s="729">
        <v>1220.6431290581572</v>
      </c>
      <c r="AC154" s="729">
        <v>1257.129456089069</v>
      </c>
    </row>
    <row r="155" spans="1:45" ht="28.5" x14ac:dyDescent="0.45">
      <c r="A155" s="704">
        <v>2000</v>
      </c>
      <c r="B155" s="704">
        <v>2000</v>
      </c>
      <c r="C155" s="704" t="s">
        <v>577</v>
      </c>
      <c r="D155" s="704" t="s">
        <v>526</v>
      </c>
      <c r="E155" s="704">
        <v>0.99821800000000005</v>
      </c>
      <c r="F155" s="704">
        <v>99.821799999999996</v>
      </c>
      <c r="H155">
        <f t="shared" si="37"/>
        <v>2000</v>
      </c>
      <c r="I155" t="str">
        <f t="shared" si="38"/>
        <v>Greater Sydney</v>
      </c>
      <c r="O155" s="704" t="s">
        <v>545</v>
      </c>
      <c r="P155" s="729"/>
      <c r="Q155" s="729">
        <v>567.19054409644616</v>
      </c>
      <c r="R155" s="729">
        <v>583.24959846682054</v>
      </c>
      <c r="S155" s="729">
        <v>606.82234274497807</v>
      </c>
      <c r="T155" s="729">
        <v>649.68485626325605</v>
      </c>
      <c r="U155" s="729">
        <v>708.87931710369355</v>
      </c>
      <c r="V155" s="729">
        <v>794.84951198548481</v>
      </c>
      <c r="W155" s="729">
        <v>867.82256161495843</v>
      </c>
      <c r="X155" s="729">
        <v>955.49331429857727</v>
      </c>
      <c r="Y155" s="729">
        <v>1001.9091542344788</v>
      </c>
      <c r="Z155" s="729">
        <v>1056.1732104528444</v>
      </c>
      <c r="AA155" s="729">
        <v>1185.7632640989034</v>
      </c>
      <c r="AB155" s="729">
        <v>1338.9471877255482</v>
      </c>
      <c r="AC155" s="729">
        <v>1375.4591251301399</v>
      </c>
      <c r="AE155" s="706" t="s">
        <v>489</v>
      </c>
      <c r="AF155" s="732"/>
      <c r="AG155" s="732"/>
      <c r="AH155" s="732"/>
      <c r="AI155" s="732"/>
      <c r="AJ155" s="732"/>
      <c r="AK155" s="732"/>
      <c r="AL155" s="732"/>
      <c r="AM155" s="732"/>
      <c r="AN155" s="732"/>
      <c r="AO155" s="732"/>
      <c r="AP155" s="732"/>
      <c r="AQ155" s="732"/>
      <c r="AR155" s="732"/>
      <c r="AS155" s="732"/>
    </row>
    <row r="156" spans="1:45" x14ac:dyDescent="0.2">
      <c r="A156" s="704">
        <v>2006</v>
      </c>
      <c r="B156" s="704">
        <v>2006</v>
      </c>
      <c r="C156" s="704" t="s">
        <v>577</v>
      </c>
      <c r="D156" s="704" t="s">
        <v>526</v>
      </c>
      <c r="E156" s="704">
        <v>1</v>
      </c>
      <c r="F156" s="704">
        <v>100</v>
      </c>
      <c r="H156">
        <f t="shared" si="37"/>
        <v>2006</v>
      </c>
      <c r="I156" t="str">
        <f t="shared" si="38"/>
        <v>Greater Sydney</v>
      </c>
      <c r="O156" s="704" t="s">
        <v>548</v>
      </c>
      <c r="P156" s="729"/>
      <c r="Q156" s="729"/>
      <c r="R156" s="729">
        <v>701.02352097591199</v>
      </c>
      <c r="S156" s="729">
        <v>724.61280105568642</v>
      </c>
      <c r="T156" s="729">
        <v>767.50538348382793</v>
      </c>
      <c r="U156" s="729">
        <v>826.74136980524634</v>
      </c>
      <c r="V156" s="729">
        <v>912.77187494014674</v>
      </c>
      <c r="W156" s="729">
        <v>985.7961161326507</v>
      </c>
      <c r="X156" s="729">
        <v>1073.5283712867376</v>
      </c>
      <c r="Y156" s="729">
        <v>1119.9767753379379</v>
      </c>
      <c r="Z156" s="729">
        <v>1174.2788977427581</v>
      </c>
      <c r="AA156" s="729">
        <v>1303.9598604643252</v>
      </c>
      <c r="AB156" s="729">
        <v>1457.2512463929393</v>
      </c>
      <c r="AC156" s="729">
        <v>1493.7887941712108</v>
      </c>
      <c r="AE156" t="s">
        <v>524</v>
      </c>
      <c r="AF156" s="732"/>
      <c r="AG156" s="732"/>
      <c r="AH156" s="732"/>
      <c r="AI156" s="732"/>
      <c r="AJ156" s="732"/>
      <c r="AK156" s="732"/>
      <c r="AL156" s="732"/>
      <c r="AM156" s="732"/>
      <c r="AN156" s="732"/>
      <c r="AO156" s="732"/>
      <c r="AP156" s="732"/>
      <c r="AQ156" s="732"/>
      <c r="AR156" s="732"/>
      <c r="AS156" s="732"/>
    </row>
    <row r="157" spans="1:45" x14ac:dyDescent="0.2">
      <c r="A157" s="704">
        <v>2007</v>
      </c>
      <c r="B157" s="704">
        <v>2007</v>
      </c>
      <c r="C157" s="704" t="s">
        <v>577</v>
      </c>
      <c r="D157" s="704" t="s">
        <v>526</v>
      </c>
      <c r="E157" s="704">
        <v>1</v>
      </c>
      <c r="F157" s="704">
        <v>100</v>
      </c>
      <c r="H157">
        <f t="shared" si="37"/>
        <v>2007</v>
      </c>
      <c r="I157" t="str">
        <f t="shared" si="38"/>
        <v>Greater Sydney</v>
      </c>
      <c r="O157" s="704"/>
      <c r="P157" s="729"/>
      <c r="Q157" s="729"/>
      <c r="R157" s="729"/>
      <c r="S157" s="729"/>
      <c r="T157" s="729"/>
      <c r="U157" s="729"/>
      <c r="V157" s="729"/>
      <c r="W157" s="729"/>
      <c r="X157" s="729"/>
      <c r="Y157" s="729"/>
      <c r="Z157" s="729"/>
      <c r="AA157" s="729"/>
      <c r="AB157" s="729"/>
      <c r="AC157" s="729"/>
      <c r="AE157" t="s">
        <v>528</v>
      </c>
      <c r="AF157" s="732">
        <f>MAX(P175-P174,0)</f>
        <v>0</v>
      </c>
      <c r="AG157" s="732">
        <f t="shared" ref="AG157:AS157" si="48">MAX(Q175-Q174,0)</f>
        <v>0</v>
      </c>
      <c r="AH157" s="732">
        <f t="shared" si="48"/>
        <v>0</v>
      </c>
      <c r="AI157" s="732">
        <f t="shared" si="48"/>
        <v>69.212523858046779</v>
      </c>
      <c r="AJ157" s="732">
        <f t="shared" si="48"/>
        <v>69.360995431440188</v>
      </c>
      <c r="AK157" s="732">
        <f t="shared" si="48"/>
        <v>69.566039701733189</v>
      </c>
      <c r="AL157" s="732">
        <f t="shared" si="48"/>
        <v>69.863836730724643</v>
      </c>
      <c r="AM157" s="732">
        <f t="shared" si="48"/>
        <v>70.116607415654471</v>
      </c>
      <c r="AN157" s="732">
        <f t="shared" si="48"/>
        <v>70.420291716821339</v>
      </c>
      <c r="AO157" s="732">
        <f t="shared" si="48"/>
        <v>70.581071302618284</v>
      </c>
      <c r="AP157" s="732">
        <f t="shared" si="48"/>
        <v>70.769039943967982</v>
      </c>
      <c r="AQ157" s="732">
        <f t="shared" si="48"/>
        <v>71.217931009165341</v>
      </c>
      <c r="AR157" s="732">
        <f t="shared" si="48"/>
        <v>71.748546430743318</v>
      </c>
      <c r="AS157" s="732">
        <f t="shared" si="48"/>
        <v>71.875019011105223</v>
      </c>
    </row>
    <row r="158" spans="1:45" x14ac:dyDescent="0.2">
      <c r="A158" s="704">
        <v>2008</v>
      </c>
      <c r="B158" s="704">
        <v>2008</v>
      </c>
      <c r="C158" s="704" t="s">
        <v>577</v>
      </c>
      <c r="D158" s="704" t="s">
        <v>526</v>
      </c>
      <c r="E158" s="704">
        <v>1</v>
      </c>
      <c r="F158" s="704">
        <v>100</v>
      </c>
      <c r="H158">
        <f t="shared" si="37"/>
        <v>2008</v>
      </c>
      <c r="I158" t="str">
        <f t="shared" si="38"/>
        <v>Greater Sydney</v>
      </c>
      <c r="O158" s="704"/>
      <c r="P158" s="729"/>
      <c r="Q158" s="729"/>
      <c r="R158" s="729"/>
      <c r="S158" s="729"/>
      <c r="T158" s="729"/>
      <c r="U158" s="729"/>
      <c r="V158" s="729"/>
      <c r="W158" s="729"/>
      <c r="X158" s="729"/>
      <c r="Y158" s="729"/>
      <c r="Z158" s="729"/>
      <c r="AA158" s="729"/>
      <c r="AB158" s="729"/>
      <c r="AC158" s="729"/>
      <c r="AF158" s="732"/>
      <c r="AG158" s="732"/>
      <c r="AH158" s="732"/>
      <c r="AI158" s="732"/>
      <c r="AJ158" s="732"/>
      <c r="AK158" s="732"/>
      <c r="AL158" s="732"/>
      <c r="AM158" s="732"/>
      <c r="AN158" s="732"/>
      <c r="AO158" s="732"/>
      <c r="AP158" s="732"/>
      <c r="AQ158" s="732"/>
      <c r="AR158" s="732"/>
      <c r="AS158" s="732"/>
    </row>
    <row r="159" spans="1:45" ht="28.5" x14ac:dyDescent="0.45">
      <c r="A159" s="704">
        <v>2009</v>
      </c>
      <c r="B159" s="704">
        <v>2009</v>
      </c>
      <c r="C159" s="704" t="s">
        <v>577</v>
      </c>
      <c r="D159" s="704" t="s">
        <v>526</v>
      </c>
      <c r="E159" s="704">
        <v>0.99503299999999995</v>
      </c>
      <c r="F159" s="704">
        <v>99.503299999999996</v>
      </c>
      <c r="H159">
        <f t="shared" si="37"/>
        <v>2009</v>
      </c>
      <c r="I159" t="str">
        <f t="shared" si="38"/>
        <v>Greater Sydney</v>
      </c>
      <c r="O159" s="705" t="s">
        <v>488</v>
      </c>
      <c r="P159" s="729"/>
      <c r="Q159" s="729"/>
      <c r="R159" s="729"/>
      <c r="S159" s="729"/>
      <c r="T159" s="729"/>
      <c r="U159" s="729"/>
      <c r="V159" s="729"/>
      <c r="W159" s="729"/>
      <c r="X159" s="729"/>
      <c r="Y159" s="729"/>
      <c r="Z159" s="729"/>
      <c r="AA159" s="729"/>
      <c r="AB159" s="729"/>
      <c r="AC159" s="729"/>
      <c r="AE159" t="s">
        <v>535</v>
      </c>
      <c r="AF159" s="732"/>
      <c r="AG159" s="732"/>
      <c r="AH159" s="732"/>
      <c r="AI159" s="732"/>
      <c r="AJ159" s="732"/>
      <c r="AK159" s="732"/>
      <c r="AL159" s="732"/>
      <c r="AM159" s="732"/>
      <c r="AN159" s="732"/>
      <c r="AO159" s="732"/>
      <c r="AP159" s="732"/>
      <c r="AQ159" s="732"/>
      <c r="AR159" s="732"/>
      <c r="AS159" s="732"/>
    </row>
    <row r="160" spans="1:45" x14ac:dyDescent="0.2">
      <c r="A160" s="704">
        <v>2010</v>
      </c>
      <c r="B160" s="704">
        <v>2010</v>
      </c>
      <c r="C160" s="704" t="s">
        <v>577</v>
      </c>
      <c r="D160" s="704" t="s">
        <v>526</v>
      </c>
      <c r="E160" s="704">
        <v>1</v>
      </c>
      <c r="F160" s="704">
        <v>100</v>
      </c>
      <c r="H160">
        <f t="shared" si="37"/>
        <v>2010</v>
      </c>
      <c r="I160" t="str">
        <f t="shared" si="38"/>
        <v>Greater Sydney</v>
      </c>
      <c r="O160" s="704" t="s">
        <v>524</v>
      </c>
      <c r="P160" s="729"/>
      <c r="Q160" s="729">
        <v>623.72884519680986</v>
      </c>
      <c r="R160" s="729">
        <v>640.03394872071715</v>
      </c>
      <c r="S160" s="729">
        <v>663.96786442584141</v>
      </c>
      <c r="T160" s="729">
        <v>707.48709754773256</v>
      </c>
      <c r="U160" s="729">
        <v>767.58850640688502</v>
      </c>
      <c r="V160" s="729">
        <v>854.87589501202024</v>
      </c>
      <c r="W160" s="729">
        <v>928.96700381928417</v>
      </c>
      <c r="X160" s="729">
        <v>1017.9810049866011</v>
      </c>
      <c r="Y160" s="729">
        <v>1065.1080053088399</v>
      </c>
      <c r="Z160" s="729">
        <v>1120.203468585815</v>
      </c>
      <c r="AA160" s="729">
        <v>1251.7790382844485</v>
      </c>
      <c r="AB160" s="729">
        <v>1407.309971549126</v>
      </c>
      <c r="AC160" s="729">
        <v>1444.3813304476896</v>
      </c>
      <c r="AE160" t="s">
        <v>528</v>
      </c>
      <c r="AF160" s="732">
        <f>MAX(P180-P179,0)</f>
        <v>0</v>
      </c>
      <c r="AG160" s="732">
        <f t="shared" ref="AG160:AS160" si="49">MAX(Q180-Q179,0)</f>
        <v>0</v>
      </c>
      <c r="AH160" s="732">
        <f t="shared" si="49"/>
        <v>117.79303736237057</v>
      </c>
      <c r="AI160" s="732">
        <f t="shared" si="49"/>
        <v>117.80957122078757</v>
      </c>
      <c r="AJ160" s="732">
        <f t="shared" si="49"/>
        <v>117.83963967956083</v>
      </c>
      <c r="AK160" s="732">
        <f t="shared" si="49"/>
        <v>117.88116747852109</v>
      </c>
      <c r="AL160" s="732">
        <f t="shared" si="49"/>
        <v>117.94147646642932</v>
      </c>
      <c r="AM160" s="732">
        <f t="shared" si="49"/>
        <v>117.99266887332885</v>
      </c>
      <c r="AN160" s="732">
        <f t="shared" si="49"/>
        <v>118.05416864397887</v>
      </c>
      <c r="AO160" s="732">
        <f t="shared" si="49"/>
        <v>118.08673290581009</v>
      </c>
      <c r="AP160" s="732">
        <f t="shared" si="49"/>
        <v>118.12480193252645</v>
      </c>
      <c r="AQ160" s="732">
        <f t="shared" si="49"/>
        <v>118.21570526106871</v>
      </c>
      <c r="AR160" s="732">
        <f t="shared" si="49"/>
        <v>118.32316377860934</v>
      </c>
      <c r="AS160" s="732">
        <f t="shared" si="49"/>
        <v>118.34878235786346</v>
      </c>
    </row>
    <row r="161" spans="1:45" x14ac:dyDescent="0.2">
      <c r="A161" s="704">
        <v>2011</v>
      </c>
      <c r="B161" s="704">
        <v>2011</v>
      </c>
      <c r="C161" s="704" t="s">
        <v>577</v>
      </c>
      <c r="D161" s="704" t="s">
        <v>526</v>
      </c>
      <c r="E161" s="704">
        <v>0.99102299999999999</v>
      </c>
      <c r="F161" s="704">
        <v>99.1023</v>
      </c>
      <c r="H161">
        <f t="shared" si="37"/>
        <v>2011</v>
      </c>
      <c r="I161" t="str">
        <f t="shared" si="38"/>
        <v>Greater Sydney</v>
      </c>
      <c r="O161" s="704" t="s">
        <v>527</v>
      </c>
      <c r="P161" s="729"/>
      <c r="Q161" s="729"/>
      <c r="R161" s="729">
        <v>734.70256942841195</v>
      </c>
      <c r="S161" s="729">
        <v>758.61377177267889</v>
      </c>
      <c r="T161" s="729">
        <v>802.09170714672985</v>
      </c>
      <c r="U161" s="729">
        <v>862.13608518127489</v>
      </c>
      <c r="V161" s="729">
        <v>949.34064354990278</v>
      </c>
      <c r="W161" s="729">
        <v>1023.3614440989426</v>
      </c>
      <c r="X161" s="729">
        <v>1112.2909741845842</v>
      </c>
      <c r="Y161" s="729">
        <v>1159.3732552905328</v>
      </c>
      <c r="Z161" s="729">
        <v>1214.4164341862286</v>
      </c>
      <c r="AA161" s="729">
        <v>1345.8671493220907</v>
      </c>
      <c r="AB161" s="729">
        <v>1501.2504925627902</v>
      </c>
      <c r="AC161" s="729">
        <v>1538.2866703281795</v>
      </c>
    </row>
    <row r="162" spans="1:45" x14ac:dyDescent="0.2">
      <c r="A162" s="704">
        <v>2015</v>
      </c>
      <c r="B162" s="704">
        <v>2015</v>
      </c>
      <c r="C162" s="704" t="s">
        <v>577</v>
      </c>
      <c r="D162" s="704" t="s">
        <v>526</v>
      </c>
      <c r="E162" s="704">
        <v>1</v>
      </c>
      <c r="F162" s="704">
        <v>100</v>
      </c>
      <c r="H162">
        <f t="shared" si="37"/>
        <v>2015</v>
      </c>
      <c r="I162" t="str">
        <f t="shared" si="38"/>
        <v>Greater Sydney</v>
      </c>
      <c r="O162" s="704" t="s">
        <v>531</v>
      </c>
      <c r="P162" s="729"/>
      <c r="Q162" s="729"/>
      <c r="R162" s="729">
        <v>813.00742100465845</v>
      </c>
      <c r="S162" s="729">
        <v>837.01179161713537</v>
      </c>
      <c r="T162" s="729">
        <v>880.65913449291077</v>
      </c>
      <c r="U162" s="729">
        <v>940.93746652140726</v>
      </c>
      <c r="V162" s="729">
        <v>1028.4818054678462</v>
      </c>
      <c r="W162" s="729">
        <v>1102.7910195158649</v>
      </c>
      <c r="X162" s="729">
        <v>1192.0670573387276</v>
      </c>
      <c r="Y162" s="729">
        <v>1239.3327855892435</v>
      </c>
      <c r="Z162" s="729">
        <v>1294.5904366222319</v>
      </c>
      <c r="AA162" s="729">
        <v>1426.5533308958597</v>
      </c>
      <c r="AB162" s="729">
        <v>1582.5421091704754</v>
      </c>
      <c r="AC162" s="729">
        <v>1619.7225962190532</v>
      </c>
    </row>
    <row r="163" spans="1:45" ht="28.5" x14ac:dyDescent="0.45">
      <c r="A163" s="704">
        <v>2016</v>
      </c>
      <c r="B163" s="704">
        <v>2016</v>
      </c>
      <c r="C163" s="704" t="s">
        <v>577</v>
      </c>
      <c r="D163" s="704" t="s">
        <v>526</v>
      </c>
      <c r="E163" s="704">
        <v>1</v>
      </c>
      <c r="F163" s="704">
        <v>100</v>
      </c>
      <c r="H163">
        <f t="shared" si="37"/>
        <v>2016</v>
      </c>
      <c r="I163" t="str">
        <f t="shared" si="38"/>
        <v>Greater Sydney</v>
      </c>
      <c r="O163" s="704" t="s">
        <v>534</v>
      </c>
      <c r="P163" s="729"/>
      <c r="Q163" s="729"/>
      <c r="R163" s="729"/>
      <c r="S163" s="729">
        <v>906.0861041972114</v>
      </c>
      <c r="T163" s="729">
        <v>949.88191869725654</v>
      </c>
      <c r="U163" s="729">
        <v>1010.3652974881901</v>
      </c>
      <c r="V163" s="729">
        <v>1098.2074301142122</v>
      </c>
      <c r="W163" s="729">
        <v>1172.7694178320057</v>
      </c>
      <c r="X163" s="729">
        <v>1262.3491379403467</v>
      </c>
      <c r="Y163" s="729">
        <v>1309.7756468790087</v>
      </c>
      <c r="Z163" s="729">
        <v>1365.2212680653797</v>
      </c>
      <c r="AA163" s="729">
        <v>1497.6330510473949</v>
      </c>
      <c r="AB163" s="729">
        <v>1654.1524437958647</v>
      </c>
      <c r="AC163" s="729">
        <v>1691.4594097989911</v>
      </c>
      <c r="AE163" s="706" t="s">
        <v>490</v>
      </c>
      <c r="AF163" s="732"/>
      <c r="AG163" s="732"/>
      <c r="AH163" s="732"/>
      <c r="AI163" s="732"/>
      <c r="AJ163" s="732"/>
      <c r="AK163" s="732"/>
      <c r="AL163" s="732"/>
      <c r="AM163" s="732"/>
      <c r="AN163" s="732"/>
      <c r="AO163" s="732"/>
      <c r="AP163" s="732"/>
      <c r="AQ163" s="732"/>
      <c r="AR163" s="732"/>
      <c r="AS163" s="732"/>
    </row>
    <row r="164" spans="1:45" x14ac:dyDescent="0.2">
      <c r="A164" s="704">
        <v>2017</v>
      </c>
      <c r="B164" s="704">
        <v>2017</v>
      </c>
      <c r="C164" s="704" t="s">
        <v>577</v>
      </c>
      <c r="D164" s="704" t="s">
        <v>526</v>
      </c>
      <c r="E164" s="704">
        <v>1</v>
      </c>
      <c r="F164" s="704">
        <v>100</v>
      </c>
      <c r="H164">
        <f t="shared" si="37"/>
        <v>2017</v>
      </c>
      <c r="I164" t="str">
        <f t="shared" si="38"/>
        <v>Greater Sydney</v>
      </c>
      <c r="O164" s="704"/>
      <c r="P164" s="729"/>
      <c r="Q164" s="729"/>
      <c r="R164" s="729"/>
      <c r="S164" s="729"/>
      <c r="T164" s="729"/>
      <c r="U164" s="729"/>
      <c r="V164" s="729"/>
      <c r="W164" s="729"/>
      <c r="X164" s="729"/>
      <c r="Y164" s="729"/>
      <c r="Z164" s="729"/>
      <c r="AA164" s="729"/>
      <c r="AB164" s="729"/>
      <c r="AC164" s="729"/>
      <c r="AE164" t="s">
        <v>524</v>
      </c>
      <c r="AF164" s="732"/>
      <c r="AG164" s="732"/>
      <c r="AH164" s="732"/>
      <c r="AI164" s="732"/>
      <c r="AJ164" s="732"/>
      <c r="AK164" s="732"/>
      <c r="AL164" s="732"/>
      <c r="AM164" s="732"/>
      <c r="AN164" s="732"/>
      <c r="AO164" s="732"/>
      <c r="AP164" s="732"/>
      <c r="AQ164" s="732"/>
      <c r="AR164" s="732"/>
      <c r="AS164" s="732"/>
    </row>
    <row r="165" spans="1:45" x14ac:dyDescent="0.2">
      <c r="A165" s="704">
        <v>2018</v>
      </c>
      <c r="B165" s="704">
        <v>2018</v>
      </c>
      <c r="C165" s="704" t="s">
        <v>577</v>
      </c>
      <c r="D165" s="704" t="s">
        <v>526</v>
      </c>
      <c r="E165" s="704">
        <v>1</v>
      </c>
      <c r="F165" s="704">
        <v>100</v>
      </c>
      <c r="H165">
        <f t="shared" si="37"/>
        <v>2018</v>
      </c>
      <c r="I165" t="str">
        <f t="shared" si="38"/>
        <v>Greater Sydney</v>
      </c>
      <c r="O165" s="704" t="s">
        <v>535</v>
      </c>
      <c r="P165" s="729">
        <v>320.08640078508313</v>
      </c>
      <c r="Q165" s="729">
        <v>337.22765582197434</v>
      </c>
      <c r="R165" s="729">
        <v>353.37598018601835</v>
      </c>
      <c r="S165" s="729">
        <v>377.07976306781666</v>
      </c>
      <c r="T165" s="729">
        <v>420.18054361258197</v>
      </c>
      <c r="U165" s="729">
        <v>479.70405737925381</v>
      </c>
      <c r="V165" s="729">
        <v>566.15214795177519</v>
      </c>
      <c r="W165" s="729">
        <v>639.53084454011184</v>
      </c>
      <c r="X165" s="729">
        <v>727.68894485925205</v>
      </c>
      <c r="Y165" s="729">
        <v>774.36280351395283</v>
      </c>
      <c r="Z165" s="729">
        <v>828.92850594429024</v>
      </c>
      <c r="AA165" s="729">
        <v>959.23893081063022</v>
      </c>
      <c r="AB165" s="729">
        <v>1113.2743808126679</v>
      </c>
      <c r="AC165" s="729">
        <v>1149.9892851888746</v>
      </c>
      <c r="AE165" t="s">
        <v>528</v>
      </c>
      <c r="AF165" s="732">
        <f>MAX(P187-P186,0)</f>
        <v>0</v>
      </c>
      <c r="AG165" s="732">
        <f t="shared" ref="AG165:AS165" si="50">MAX(Q187-Q186,0)</f>
        <v>0</v>
      </c>
      <c r="AH165" s="732">
        <f t="shared" si="50"/>
        <v>0</v>
      </c>
      <c r="AI165" s="732">
        <f t="shared" si="50"/>
        <v>68.993487084205526</v>
      </c>
      <c r="AJ165" s="732">
        <f t="shared" si="50"/>
        <v>69.141959471966175</v>
      </c>
      <c r="AK165" s="732">
        <f t="shared" si="50"/>
        <v>69.347004860245306</v>
      </c>
      <c r="AL165" s="732">
        <f t="shared" si="50"/>
        <v>69.644799760812589</v>
      </c>
      <c r="AM165" s="732">
        <f t="shared" si="50"/>
        <v>69.897572527892862</v>
      </c>
      <c r="AN165" s="732">
        <f t="shared" si="50"/>
        <v>70.201255693725898</v>
      </c>
      <c r="AO165" s="732">
        <f t="shared" si="50"/>
        <v>70.362036091420123</v>
      </c>
      <c r="AP165" s="732">
        <f t="shared" si="50"/>
        <v>70.550005611620918</v>
      </c>
      <c r="AQ165" s="732">
        <f t="shared" si="50"/>
        <v>70.998894258240398</v>
      </c>
      <c r="AR165" s="732">
        <f t="shared" si="50"/>
        <v>71.529509532893599</v>
      </c>
      <c r="AS165" s="732">
        <f t="shared" si="50"/>
        <v>71.655984301151875</v>
      </c>
    </row>
    <row r="166" spans="1:45" x14ac:dyDescent="0.2">
      <c r="A166" s="704">
        <v>2019</v>
      </c>
      <c r="B166" s="704">
        <v>2019</v>
      </c>
      <c r="C166" s="704" t="s">
        <v>577</v>
      </c>
      <c r="D166" s="704" t="s">
        <v>526</v>
      </c>
      <c r="E166" s="704">
        <v>1</v>
      </c>
      <c r="F166" s="704">
        <v>100</v>
      </c>
      <c r="H166">
        <f t="shared" si="37"/>
        <v>2019</v>
      </c>
      <c r="I166" t="str">
        <f t="shared" si="38"/>
        <v>Greater Sydney</v>
      </c>
      <c r="O166" s="704" t="s">
        <v>542</v>
      </c>
      <c r="P166" s="729"/>
      <c r="Q166" s="729">
        <v>436.78450933054876</v>
      </c>
      <c r="R166" s="729">
        <v>452.83229772385727</v>
      </c>
      <c r="S166" s="729">
        <v>476.38850585643871</v>
      </c>
      <c r="T166" s="729">
        <v>519.22095186034426</v>
      </c>
      <c r="U166" s="729">
        <v>578.37388672843088</v>
      </c>
      <c r="V166" s="729">
        <v>664.2837715143512</v>
      </c>
      <c r="W166" s="729">
        <v>737.20562926631771</v>
      </c>
      <c r="X166" s="729">
        <v>824.81487904706307</v>
      </c>
      <c r="Y166" s="729">
        <v>871.19815706900363</v>
      </c>
      <c r="Z166" s="729">
        <v>925.42414419200361</v>
      </c>
      <c r="AA166" s="729">
        <v>1054.9232898632235</v>
      </c>
      <c r="AB166" s="729">
        <v>1207.9997507161838</v>
      </c>
      <c r="AC166" s="729">
        <v>1244.48607931948</v>
      </c>
      <c r="AF166" s="732"/>
      <c r="AG166" s="732"/>
      <c r="AH166" s="732"/>
      <c r="AI166" s="732"/>
      <c r="AJ166" s="732"/>
      <c r="AK166" s="732"/>
      <c r="AL166" s="732"/>
      <c r="AM166" s="732"/>
      <c r="AN166" s="732"/>
      <c r="AO166" s="732"/>
      <c r="AP166" s="732"/>
      <c r="AQ166" s="732"/>
      <c r="AR166" s="732"/>
      <c r="AS166" s="732"/>
    </row>
    <row r="167" spans="1:45" x14ac:dyDescent="0.2">
      <c r="A167" s="704">
        <v>2020</v>
      </c>
      <c r="B167" s="704">
        <v>2020</v>
      </c>
      <c r="C167" s="704" t="s">
        <v>577</v>
      </c>
      <c r="D167" s="704" t="s">
        <v>526</v>
      </c>
      <c r="E167" s="704">
        <v>1</v>
      </c>
      <c r="F167" s="704">
        <v>100</v>
      </c>
      <c r="H167">
        <f t="shared" si="37"/>
        <v>2020</v>
      </c>
      <c r="I167" t="str">
        <f t="shared" si="38"/>
        <v>Greater Sydney</v>
      </c>
      <c r="O167" s="704" t="s">
        <v>545</v>
      </c>
      <c r="P167" s="729"/>
      <c r="Q167" s="729">
        <v>554.53829093350362</v>
      </c>
      <c r="R167" s="729">
        <v>570.59734337175178</v>
      </c>
      <c r="S167" s="729">
        <v>594.17009024993115</v>
      </c>
      <c r="T167" s="729">
        <v>637.03260324343398</v>
      </c>
      <c r="U167" s="729">
        <v>696.22706327285562</v>
      </c>
      <c r="V167" s="729">
        <v>782.19725758216487</v>
      </c>
      <c r="W167" s="729">
        <v>855.17030649603646</v>
      </c>
      <c r="X167" s="729">
        <v>942.84106185123721</v>
      </c>
      <c r="Y167" s="729">
        <v>989.25689615773365</v>
      </c>
      <c r="Z167" s="729">
        <v>1043.5209550476811</v>
      </c>
      <c r="AA167" s="729">
        <v>1173.1110075487766</v>
      </c>
      <c r="AB167" s="729">
        <v>1326.2949307937668</v>
      </c>
      <c r="AC167" s="729">
        <v>1362.8068699158041</v>
      </c>
      <c r="AE167" t="s">
        <v>535</v>
      </c>
      <c r="AF167" s="732"/>
      <c r="AG167" s="732"/>
      <c r="AH167" s="732"/>
      <c r="AI167" s="732"/>
      <c r="AJ167" s="732"/>
      <c r="AK167" s="732"/>
      <c r="AL167" s="732"/>
      <c r="AM167" s="732"/>
      <c r="AN167" s="732"/>
      <c r="AO167" s="732"/>
      <c r="AP167" s="732"/>
      <c r="AQ167" s="732"/>
      <c r="AR167" s="732"/>
      <c r="AS167" s="732"/>
    </row>
    <row r="168" spans="1:45" x14ac:dyDescent="0.2">
      <c r="A168" s="704">
        <v>2021</v>
      </c>
      <c r="B168" s="704">
        <v>2021</v>
      </c>
      <c r="C168" s="704" t="s">
        <v>577</v>
      </c>
      <c r="D168" s="704" t="s">
        <v>526</v>
      </c>
      <c r="E168" s="704">
        <v>1</v>
      </c>
      <c r="F168" s="704">
        <v>100</v>
      </c>
      <c r="H168">
        <f t="shared" si="37"/>
        <v>2021</v>
      </c>
      <c r="I168" t="str">
        <f t="shared" si="38"/>
        <v>Greater Sydney</v>
      </c>
      <c r="O168" s="704" t="s">
        <v>548</v>
      </c>
      <c r="P168" s="729"/>
      <c r="Q168" s="729"/>
      <c r="R168" s="729">
        <v>688.36238901964634</v>
      </c>
      <c r="S168" s="729">
        <v>711.95167464342353</v>
      </c>
      <c r="T168" s="729">
        <v>754.84425462652371</v>
      </c>
      <c r="U168" s="729">
        <v>814.08023981728036</v>
      </c>
      <c r="V168" s="729">
        <v>900.11074364997853</v>
      </c>
      <c r="W168" s="729">
        <v>973.13498372575521</v>
      </c>
      <c r="X168" s="729">
        <v>1060.8672446554115</v>
      </c>
      <c r="Y168" s="729">
        <v>1107.3156352464637</v>
      </c>
      <c r="Z168" s="729">
        <v>1161.6177659033588</v>
      </c>
      <c r="AA168" s="729">
        <v>1291.2987252343296</v>
      </c>
      <c r="AB168" s="729">
        <v>1444.5901108713497</v>
      </c>
      <c r="AC168" s="729">
        <v>1481.1276605121282</v>
      </c>
      <c r="AE168" t="s">
        <v>528</v>
      </c>
      <c r="AF168" s="732">
        <f>MAX(P192-P191,0)</f>
        <v>0</v>
      </c>
      <c r="AG168" s="732">
        <f t="shared" ref="AG168:AS168" si="51">MAX(Q192-Q191,0)</f>
        <v>0</v>
      </c>
      <c r="AH168" s="732">
        <f t="shared" si="51"/>
        <v>117.74867722534509</v>
      </c>
      <c r="AI168" s="732">
        <f t="shared" si="51"/>
        <v>117.76521599908699</v>
      </c>
      <c r="AJ168" s="732">
        <f t="shared" si="51"/>
        <v>117.79528242575418</v>
      </c>
      <c r="AK168" s="732">
        <f t="shared" si="51"/>
        <v>117.83680778917392</v>
      </c>
      <c r="AL168" s="732">
        <f t="shared" si="51"/>
        <v>117.89711844414421</v>
      </c>
      <c r="AM168" s="732">
        <f t="shared" si="51"/>
        <v>117.94830907786206</v>
      </c>
      <c r="AN168" s="732">
        <f t="shared" si="51"/>
        <v>118.00981368673968</v>
      </c>
      <c r="AO168" s="732">
        <f t="shared" si="51"/>
        <v>118.04237060024877</v>
      </c>
      <c r="AP168" s="732">
        <f t="shared" si="51"/>
        <v>118.080441654271</v>
      </c>
      <c r="AQ168" s="732">
        <f t="shared" si="51"/>
        <v>118.1713487139159</v>
      </c>
      <c r="AR168" s="732">
        <f t="shared" si="51"/>
        <v>118.27881100444279</v>
      </c>
      <c r="AS168" s="732">
        <f t="shared" si="51"/>
        <v>118.30441945767257</v>
      </c>
    </row>
    <row r="169" spans="1:45" x14ac:dyDescent="0.2">
      <c r="A169" s="704">
        <v>2022</v>
      </c>
      <c r="B169" s="704">
        <v>2022</v>
      </c>
      <c r="C169" s="704" t="s">
        <v>577</v>
      </c>
      <c r="D169" s="704" t="s">
        <v>526</v>
      </c>
      <c r="E169" s="704">
        <v>1</v>
      </c>
      <c r="F169" s="704">
        <v>100</v>
      </c>
      <c r="H169">
        <f t="shared" si="37"/>
        <v>2022</v>
      </c>
      <c r="I169" t="str">
        <f t="shared" si="38"/>
        <v>Greater Sydney</v>
      </c>
      <c r="O169" s="704"/>
      <c r="P169" s="729"/>
      <c r="Q169" s="729"/>
      <c r="R169" s="729"/>
      <c r="S169" s="729"/>
      <c r="T169" s="729"/>
      <c r="U169" s="729"/>
      <c r="V169" s="729"/>
      <c r="W169" s="729"/>
      <c r="X169" s="729"/>
      <c r="Y169" s="729"/>
      <c r="Z169" s="729"/>
      <c r="AA169" s="729"/>
      <c r="AB169" s="729"/>
      <c r="AC169" s="729"/>
    </row>
    <row r="170" spans="1:45" x14ac:dyDescent="0.2">
      <c r="A170" s="704">
        <v>2023</v>
      </c>
      <c r="B170" s="704">
        <v>2023</v>
      </c>
      <c r="C170" s="704" t="s">
        <v>577</v>
      </c>
      <c r="D170" s="704" t="s">
        <v>526</v>
      </c>
      <c r="E170" s="704">
        <v>1</v>
      </c>
      <c r="F170" s="704">
        <v>100</v>
      </c>
      <c r="H170">
        <f t="shared" si="37"/>
        <v>2023</v>
      </c>
      <c r="I170" t="str">
        <f t="shared" si="38"/>
        <v>Greater Sydney</v>
      </c>
      <c r="O170" s="704"/>
      <c r="P170" s="729"/>
      <c r="Q170" s="729"/>
      <c r="R170" s="729"/>
      <c r="S170" s="729"/>
      <c r="T170" s="729"/>
      <c r="U170" s="729"/>
      <c r="V170" s="729"/>
      <c r="W170" s="729"/>
      <c r="X170" s="729"/>
      <c r="Y170" s="729"/>
      <c r="Z170" s="729"/>
      <c r="AA170" s="729"/>
      <c r="AB170" s="729"/>
      <c r="AC170" s="729"/>
    </row>
    <row r="171" spans="1:45" ht="28.5" x14ac:dyDescent="0.45">
      <c r="A171" s="704">
        <v>2024</v>
      </c>
      <c r="B171" s="704">
        <v>2024</v>
      </c>
      <c r="C171" s="704" t="s">
        <v>577</v>
      </c>
      <c r="D171" s="704" t="s">
        <v>526</v>
      </c>
      <c r="E171" s="704">
        <v>0.99550799999999995</v>
      </c>
      <c r="F171" s="704">
        <v>99.550799999999995</v>
      </c>
      <c r="H171">
        <f t="shared" si="37"/>
        <v>2024</v>
      </c>
      <c r="I171" t="str">
        <f t="shared" si="38"/>
        <v>Greater Sydney</v>
      </c>
      <c r="O171" s="705" t="s">
        <v>489</v>
      </c>
      <c r="P171" s="729"/>
      <c r="Q171" s="729"/>
      <c r="R171" s="729"/>
      <c r="S171" s="729"/>
      <c r="T171" s="729"/>
      <c r="U171" s="729"/>
      <c r="V171" s="729"/>
      <c r="W171" s="729"/>
      <c r="X171" s="729"/>
      <c r="Y171" s="729"/>
      <c r="Z171" s="729"/>
      <c r="AA171" s="729"/>
      <c r="AB171" s="729"/>
      <c r="AC171" s="729"/>
      <c r="AE171" s="706" t="s">
        <v>491</v>
      </c>
      <c r="AF171" s="732"/>
      <c r="AG171" s="732"/>
      <c r="AH171" s="732"/>
      <c r="AI171" s="732"/>
      <c r="AJ171" s="732"/>
      <c r="AK171" s="732"/>
      <c r="AL171" s="732"/>
      <c r="AM171" s="732"/>
      <c r="AN171" s="732"/>
      <c r="AO171" s="732"/>
      <c r="AP171" s="732"/>
      <c r="AQ171" s="732"/>
      <c r="AR171" s="732"/>
      <c r="AS171" s="732"/>
    </row>
    <row r="172" spans="1:45" x14ac:dyDescent="0.2">
      <c r="A172" s="704">
        <v>2025</v>
      </c>
      <c r="B172" s="704">
        <v>2025</v>
      </c>
      <c r="C172" s="704" t="s">
        <v>577</v>
      </c>
      <c r="D172" s="704" t="s">
        <v>526</v>
      </c>
      <c r="E172" s="704">
        <v>1</v>
      </c>
      <c r="F172" s="704">
        <v>100</v>
      </c>
      <c r="H172">
        <f t="shared" si="37"/>
        <v>2025</v>
      </c>
      <c r="I172" t="str">
        <f t="shared" si="38"/>
        <v>Greater Sydney</v>
      </c>
      <c r="O172" s="704" t="s">
        <v>524</v>
      </c>
      <c r="P172" s="729"/>
      <c r="Q172" s="729">
        <v>664.24024087328621</v>
      </c>
      <c r="R172" s="729">
        <v>680.54534493088477</v>
      </c>
      <c r="S172" s="729">
        <v>704.47925939022093</v>
      </c>
      <c r="T172" s="729">
        <v>747.99849247551595</v>
      </c>
      <c r="U172" s="729">
        <v>808.09990271769152</v>
      </c>
      <c r="V172" s="729">
        <v>895.38729068544671</v>
      </c>
      <c r="W172" s="729">
        <v>969.47839970008783</v>
      </c>
      <c r="X172" s="729">
        <v>1058.4924003794586</v>
      </c>
      <c r="Y172" s="729">
        <v>1105.6193998050958</v>
      </c>
      <c r="Z172" s="729">
        <v>1160.7148658328688</v>
      </c>
      <c r="AA172" s="729">
        <v>1292.2904332625517</v>
      </c>
      <c r="AB172" s="729">
        <v>1447.8213666736128</v>
      </c>
      <c r="AC172" s="729">
        <v>1484.8927274629687</v>
      </c>
      <c r="AE172" t="s">
        <v>524</v>
      </c>
      <c r="AF172" s="732"/>
      <c r="AG172" s="732"/>
      <c r="AH172" s="732"/>
      <c r="AI172" s="732"/>
      <c r="AJ172" s="732"/>
      <c r="AK172" s="732"/>
      <c r="AL172" s="732"/>
      <c r="AM172" s="732"/>
      <c r="AN172" s="732"/>
      <c r="AO172" s="732"/>
      <c r="AP172" s="732"/>
      <c r="AQ172" s="732"/>
      <c r="AR172" s="732"/>
      <c r="AS172" s="732"/>
    </row>
    <row r="173" spans="1:45" x14ac:dyDescent="0.2">
      <c r="A173" s="704">
        <v>2026</v>
      </c>
      <c r="B173" s="704">
        <v>2026</v>
      </c>
      <c r="C173" s="704" t="s">
        <v>577</v>
      </c>
      <c r="D173" s="704" t="s">
        <v>526</v>
      </c>
      <c r="E173" s="704">
        <v>0.99789300000000003</v>
      </c>
      <c r="F173" s="704">
        <v>99.789299999999997</v>
      </c>
      <c r="H173">
        <f t="shared" si="37"/>
        <v>2026</v>
      </c>
      <c r="I173" t="str">
        <f t="shared" si="38"/>
        <v>Greater Sydney</v>
      </c>
      <c r="O173" s="704" t="s">
        <v>527</v>
      </c>
      <c r="P173" s="729"/>
      <c r="Q173" s="729"/>
      <c r="R173" s="729">
        <v>775.17552086055559</v>
      </c>
      <c r="S173" s="729">
        <v>799.08672456508316</v>
      </c>
      <c r="T173" s="729">
        <v>842.56466176744209</v>
      </c>
      <c r="U173" s="729">
        <v>902.60903706683894</v>
      </c>
      <c r="V173" s="729">
        <v>989.81359451399976</v>
      </c>
      <c r="W173" s="729">
        <v>1063.8343941123196</v>
      </c>
      <c r="X173" s="729">
        <v>1152.7639296097516</v>
      </c>
      <c r="Y173" s="729">
        <v>1199.846205186898</v>
      </c>
      <c r="Z173" s="729">
        <v>1254.8893880609912</v>
      </c>
      <c r="AA173" s="729">
        <v>1386.3400986919037</v>
      </c>
      <c r="AB173" s="729">
        <v>1541.7234418740968</v>
      </c>
      <c r="AC173" s="729">
        <v>1578.7596235008721</v>
      </c>
      <c r="AE173" t="s">
        <v>528</v>
      </c>
      <c r="AF173" s="732">
        <f>MAX(P199-P198,0)</f>
        <v>0</v>
      </c>
      <c r="AG173" s="732">
        <f t="shared" ref="AG173:AS173" si="52">MAX(Q199-Q198,0)</f>
        <v>0</v>
      </c>
      <c r="AH173" s="732">
        <f t="shared" si="52"/>
        <v>0</v>
      </c>
      <c r="AI173" s="732">
        <f t="shared" si="52"/>
        <v>69.220042175810249</v>
      </c>
      <c r="AJ173" s="732">
        <f t="shared" si="52"/>
        <v>69.368514240535887</v>
      </c>
      <c r="AK173" s="732">
        <f t="shared" si="52"/>
        <v>69.573556744517759</v>
      </c>
      <c r="AL173" s="732">
        <f t="shared" si="52"/>
        <v>69.871354204844465</v>
      </c>
      <c r="AM173" s="732">
        <f t="shared" si="52"/>
        <v>70.124125817505501</v>
      </c>
      <c r="AN173" s="732">
        <f t="shared" si="52"/>
        <v>70.42780923761643</v>
      </c>
      <c r="AO173" s="732">
        <f t="shared" si="52"/>
        <v>70.588592166428953</v>
      </c>
      <c r="AP173" s="732">
        <f t="shared" si="52"/>
        <v>70.77655721398537</v>
      </c>
      <c r="AQ173" s="732">
        <f t="shared" si="52"/>
        <v>71.225449591625193</v>
      </c>
      <c r="AR173" s="732">
        <f t="shared" si="52"/>
        <v>71.756067526533343</v>
      </c>
      <c r="AS173" s="732">
        <f t="shared" si="52"/>
        <v>71.882535287527162</v>
      </c>
    </row>
    <row r="174" spans="1:45" x14ac:dyDescent="0.2">
      <c r="A174" s="704">
        <v>2027</v>
      </c>
      <c r="B174" s="704">
        <v>2027</v>
      </c>
      <c r="C174" s="704" t="s">
        <v>577</v>
      </c>
      <c r="D174" s="704" t="s">
        <v>526</v>
      </c>
      <c r="E174" s="704">
        <v>0.98941800000000002</v>
      </c>
      <c r="F174" s="704">
        <v>98.941800000000001</v>
      </c>
      <c r="H174">
        <f t="shared" si="37"/>
        <v>2027</v>
      </c>
      <c r="I174" t="str">
        <f t="shared" si="38"/>
        <v>Greater Sydney</v>
      </c>
      <c r="O174" s="704" t="s">
        <v>531</v>
      </c>
      <c r="P174" s="729"/>
      <c r="Q174" s="729"/>
      <c r="R174" s="729">
        <v>853.63807212132099</v>
      </c>
      <c r="S174" s="729">
        <v>877.64244128080361</v>
      </c>
      <c r="T174" s="729">
        <v>921.28978519975442</v>
      </c>
      <c r="U174" s="729">
        <v>981.56811837787268</v>
      </c>
      <c r="V174" s="729">
        <v>1069.1124578565439</v>
      </c>
      <c r="W174" s="729">
        <v>1143.4216727880685</v>
      </c>
      <c r="X174" s="729">
        <v>1232.6977073110907</v>
      </c>
      <c r="Y174" s="729">
        <v>1279.9634386485538</v>
      </c>
      <c r="Z174" s="729">
        <v>1335.2210878080843</v>
      </c>
      <c r="AA174" s="729">
        <v>1467.1839818262411</v>
      </c>
      <c r="AB174" s="729">
        <v>1623.1727590363919</v>
      </c>
      <c r="AC174" s="729">
        <v>1660.3532482564779</v>
      </c>
      <c r="AF174" s="732"/>
      <c r="AG174" s="732"/>
      <c r="AH174" s="732"/>
      <c r="AI174" s="732"/>
      <c r="AJ174" s="732"/>
      <c r="AK174" s="732"/>
      <c r="AL174" s="732"/>
      <c r="AM174" s="732"/>
      <c r="AN174" s="732"/>
      <c r="AO174" s="732"/>
      <c r="AP174" s="732"/>
      <c r="AQ174" s="732"/>
      <c r="AR174" s="732"/>
      <c r="AS174" s="732"/>
    </row>
    <row r="175" spans="1:45" x14ac:dyDescent="0.2">
      <c r="A175" s="704">
        <v>2028</v>
      </c>
      <c r="B175" s="704">
        <v>2028</v>
      </c>
      <c r="C175" s="704" t="s">
        <v>577</v>
      </c>
      <c r="D175" s="704" t="s">
        <v>526</v>
      </c>
      <c r="E175" s="704">
        <v>0.98155000000000003</v>
      </c>
      <c r="F175" s="704">
        <v>98.155000000000001</v>
      </c>
      <c r="H175">
        <f t="shared" si="37"/>
        <v>2028</v>
      </c>
      <c r="I175" t="str">
        <f t="shared" si="38"/>
        <v>Greater Sydney</v>
      </c>
      <c r="O175" s="704" t="s">
        <v>534</v>
      </c>
      <c r="P175" s="729"/>
      <c r="Q175" s="729"/>
      <c r="R175" s="729"/>
      <c r="S175" s="729">
        <v>946.85496513885039</v>
      </c>
      <c r="T175" s="729">
        <v>990.65078063119461</v>
      </c>
      <c r="U175" s="729">
        <v>1051.1341580796059</v>
      </c>
      <c r="V175" s="729">
        <v>1138.9762945872685</v>
      </c>
      <c r="W175" s="729">
        <v>1213.5382802037229</v>
      </c>
      <c r="X175" s="729">
        <v>1303.117999027912</v>
      </c>
      <c r="Y175" s="729">
        <v>1350.5445099511721</v>
      </c>
      <c r="Z175" s="729">
        <v>1405.9901277520523</v>
      </c>
      <c r="AA175" s="729">
        <v>1538.4019128354064</v>
      </c>
      <c r="AB175" s="729">
        <v>1694.9213054671352</v>
      </c>
      <c r="AC175" s="729">
        <v>1732.2282672675831</v>
      </c>
      <c r="AE175" t="s">
        <v>535</v>
      </c>
      <c r="AF175" s="732"/>
      <c r="AG175" s="732"/>
      <c r="AH175" s="732"/>
      <c r="AI175" s="732"/>
      <c r="AJ175" s="732"/>
      <c r="AK175" s="732"/>
      <c r="AL175" s="732"/>
      <c r="AM175" s="732"/>
      <c r="AN175" s="732"/>
      <c r="AO175" s="732"/>
      <c r="AP175" s="732"/>
      <c r="AQ175" s="732"/>
      <c r="AR175" s="732"/>
      <c r="AS175" s="732"/>
    </row>
    <row r="176" spans="1:45" x14ac:dyDescent="0.2">
      <c r="A176" s="704">
        <v>2029</v>
      </c>
      <c r="B176" s="704">
        <v>2029</v>
      </c>
      <c r="C176" s="704" t="s">
        <v>577</v>
      </c>
      <c r="D176" s="704" t="s">
        <v>526</v>
      </c>
      <c r="E176" s="704">
        <v>1</v>
      </c>
      <c r="F176" s="704">
        <v>100</v>
      </c>
      <c r="H176">
        <f t="shared" si="37"/>
        <v>2029</v>
      </c>
      <c r="I176" t="str">
        <f t="shared" si="38"/>
        <v>Greater Sydney</v>
      </c>
      <c r="O176" s="704"/>
      <c r="P176" s="729"/>
      <c r="Q176" s="729"/>
      <c r="R176" s="729"/>
      <c r="S176" s="729"/>
      <c r="T176" s="729"/>
      <c r="U176" s="729"/>
      <c r="V176" s="729"/>
      <c r="W176" s="729"/>
      <c r="X176" s="729"/>
      <c r="Y176" s="729"/>
      <c r="Z176" s="729"/>
      <c r="AA176" s="729"/>
      <c r="AB176" s="729"/>
      <c r="AC176" s="729"/>
      <c r="AE176" t="s">
        <v>528</v>
      </c>
      <c r="AF176" s="732">
        <f>MAX(P204-P203,0)</f>
        <v>0</v>
      </c>
      <c r="AG176" s="732">
        <f t="shared" ref="AG176:AS176" si="53">MAX(Q204-Q203,0)</f>
        <v>0</v>
      </c>
      <c r="AH176" s="732">
        <f t="shared" si="53"/>
        <v>117.79456088795712</v>
      </c>
      <c r="AI176" s="732">
        <f t="shared" si="53"/>
        <v>117.81109656629235</v>
      </c>
      <c r="AJ176" s="732">
        <f t="shared" si="53"/>
        <v>117.84116283779485</v>
      </c>
      <c r="AK176" s="732">
        <f t="shared" si="53"/>
        <v>117.88269136951965</v>
      </c>
      <c r="AL176" s="732">
        <f t="shared" si="53"/>
        <v>117.94299930215675</v>
      </c>
      <c r="AM176" s="732">
        <f t="shared" si="53"/>
        <v>117.99419033127936</v>
      </c>
      <c r="AN176" s="732">
        <f t="shared" si="53"/>
        <v>118.0556903324341</v>
      </c>
      <c r="AO176" s="732">
        <f t="shared" si="53"/>
        <v>118.08825718187541</v>
      </c>
      <c r="AP176" s="732">
        <f t="shared" si="53"/>
        <v>118.12632201427346</v>
      </c>
      <c r="AQ176" s="732">
        <f t="shared" si="53"/>
        <v>118.21723001346663</v>
      </c>
      <c r="AR176" s="732">
        <f t="shared" si="53"/>
        <v>118.32469139341651</v>
      </c>
      <c r="AS176" s="732">
        <f t="shared" si="53"/>
        <v>118.35030823381317</v>
      </c>
    </row>
    <row r="177" spans="1:45" x14ac:dyDescent="0.2">
      <c r="A177" s="704">
        <v>2030</v>
      </c>
      <c r="B177" s="704">
        <v>2030</v>
      </c>
      <c r="C177" s="704" t="s">
        <v>577</v>
      </c>
      <c r="D177" s="704" t="s">
        <v>526</v>
      </c>
      <c r="E177" s="704">
        <v>0.98501099999999997</v>
      </c>
      <c r="F177" s="704">
        <v>98.501099999999994</v>
      </c>
      <c r="H177">
        <f t="shared" si="37"/>
        <v>2030</v>
      </c>
      <c r="I177" t="str">
        <f t="shared" si="38"/>
        <v>Greater Sydney</v>
      </c>
      <c r="O177" s="704" t="s">
        <v>535</v>
      </c>
      <c r="P177" s="729">
        <v>360.20826498638797</v>
      </c>
      <c r="Q177" s="729">
        <v>377.34952018807616</v>
      </c>
      <c r="R177" s="729">
        <v>393.49784536869134</v>
      </c>
      <c r="S177" s="729">
        <v>417.20162750073399</v>
      </c>
      <c r="T177" s="729">
        <v>460.30240766207777</v>
      </c>
      <c r="U177" s="729">
        <v>519.82592254400595</v>
      </c>
      <c r="V177" s="729">
        <v>606.27401196959727</v>
      </c>
      <c r="W177" s="729">
        <v>679.65270939145864</v>
      </c>
      <c r="X177" s="729">
        <v>767.81081064414684</v>
      </c>
      <c r="Y177" s="729">
        <v>814.48466747842917</v>
      </c>
      <c r="Z177" s="729">
        <v>869.05037016215806</v>
      </c>
      <c r="AA177" s="729">
        <v>999.36079466174738</v>
      </c>
      <c r="AB177" s="729">
        <v>1153.396243736905</v>
      </c>
      <c r="AC177" s="729">
        <v>1190.1111505270001</v>
      </c>
      <c r="AF177" s="732"/>
      <c r="AG177" s="732"/>
      <c r="AH177" s="732"/>
      <c r="AI177" s="732"/>
      <c r="AJ177" s="732"/>
      <c r="AK177" s="732"/>
      <c r="AL177" s="732"/>
      <c r="AM177" s="732"/>
      <c r="AN177" s="732"/>
      <c r="AO177" s="732"/>
      <c r="AP177" s="732"/>
      <c r="AQ177" s="732"/>
      <c r="AR177" s="732"/>
      <c r="AS177" s="732"/>
    </row>
    <row r="178" spans="1:45" x14ac:dyDescent="0.2">
      <c r="A178" s="704">
        <v>2031</v>
      </c>
      <c r="B178" s="704">
        <v>2031</v>
      </c>
      <c r="C178" s="704" t="s">
        <v>577</v>
      </c>
      <c r="D178" s="704" t="s">
        <v>526</v>
      </c>
      <c r="E178" s="704">
        <v>1</v>
      </c>
      <c r="F178" s="704">
        <v>100</v>
      </c>
      <c r="H178">
        <f t="shared" si="37"/>
        <v>2031</v>
      </c>
      <c r="I178" t="str">
        <f t="shared" si="38"/>
        <v>Greater Sydney</v>
      </c>
      <c r="O178" s="704" t="s">
        <v>542</v>
      </c>
      <c r="P178" s="729"/>
      <c r="Q178" s="729">
        <v>476.65658403808158</v>
      </c>
      <c r="R178" s="729">
        <v>492.70437314879041</v>
      </c>
      <c r="S178" s="729">
        <v>516.26058135016365</v>
      </c>
      <c r="T178" s="729">
        <v>559.0930271968308</v>
      </c>
      <c r="U178" s="729">
        <v>618.24596257594237</v>
      </c>
      <c r="V178" s="729">
        <v>704.15584641843213</v>
      </c>
      <c r="W178" s="729">
        <v>777.07770597864067</v>
      </c>
      <c r="X178" s="729">
        <v>864.6869565062683</v>
      </c>
      <c r="Y178" s="729">
        <v>911.07023122620194</v>
      </c>
      <c r="Z178" s="729">
        <v>965.2962207077785</v>
      </c>
      <c r="AA178" s="729">
        <v>1094.7953647279946</v>
      </c>
      <c r="AB178" s="729">
        <v>1247.8718288829623</v>
      </c>
      <c r="AC178" s="729">
        <v>1284.3581559138738</v>
      </c>
      <c r="AF178" s="732"/>
      <c r="AG178" s="732"/>
      <c r="AH178" s="732"/>
      <c r="AI178" s="732"/>
      <c r="AJ178" s="732"/>
      <c r="AK178" s="732"/>
      <c r="AL178" s="732"/>
      <c r="AM178" s="732"/>
      <c r="AN178" s="732"/>
      <c r="AO178" s="732"/>
      <c r="AP178" s="732"/>
      <c r="AQ178" s="732"/>
      <c r="AR178" s="732"/>
      <c r="AS178" s="732"/>
    </row>
    <row r="179" spans="1:45" ht="28.5" x14ac:dyDescent="0.45">
      <c r="A179" s="704">
        <v>2032</v>
      </c>
      <c r="B179" s="704">
        <v>2032</v>
      </c>
      <c r="C179" s="704" t="s">
        <v>577</v>
      </c>
      <c r="D179" s="704" t="s">
        <v>526</v>
      </c>
      <c r="E179" s="704">
        <v>1</v>
      </c>
      <c r="F179" s="704">
        <v>100</v>
      </c>
      <c r="H179">
        <f t="shared" si="37"/>
        <v>2032</v>
      </c>
      <c r="I179" t="str">
        <f t="shared" si="38"/>
        <v>Greater Sydney</v>
      </c>
      <c r="O179" s="704" t="s">
        <v>545</v>
      </c>
      <c r="P179" s="729"/>
      <c r="Q179" s="729">
        <v>594.43835475728861</v>
      </c>
      <c r="R179" s="729">
        <v>610.49741051116098</v>
      </c>
      <c r="S179" s="729">
        <v>634.07015257095122</v>
      </c>
      <c r="T179" s="729">
        <v>676.93266687639164</v>
      </c>
      <c r="U179" s="729">
        <v>736.12713005446346</v>
      </c>
      <c r="V179" s="729">
        <v>822.09732288486146</v>
      </c>
      <c r="W179" s="729">
        <v>895.07037485196952</v>
      </c>
      <c r="X179" s="729">
        <v>982.74112515024706</v>
      </c>
      <c r="Y179" s="729">
        <v>1029.156964132012</v>
      </c>
      <c r="Z179" s="729">
        <v>1083.421022640305</v>
      </c>
      <c r="AA179" s="729">
        <v>1213.0110699890633</v>
      </c>
      <c r="AB179" s="729">
        <v>1366.1949926615716</v>
      </c>
      <c r="AC179" s="729">
        <v>1402.7069382717373</v>
      </c>
      <c r="AE179" s="706" t="s">
        <v>492</v>
      </c>
      <c r="AF179" s="732"/>
      <c r="AG179" s="732"/>
      <c r="AH179" s="732"/>
      <c r="AI179" s="732"/>
      <c r="AJ179" s="732"/>
      <c r="AK179" s="732"/>
      <c r="AL179" s="732"/>
      <c r="AM179" s="732"/>
      <c r="AN179" s="732"/>
      <c r="AO179" s="732"/>
      <c r="AP179" s="732"/>
      <c r="AQ179" s="732"/>
      <c r="AR179" s="732"/>
      <c r="AS179" s="732"/>
    </row>
    <row r="180" spans="1:45" x14ac:dyDescent="0.2">
      <c r="A180" s="704">
        <v>2033</v>
      </c>
      <c r="B180" s="704">
        <v>2033</v>
      </c>
      <c r="C180" s="704" t="s">
        <v>577</v>
      </c>
      <c r="D180" s="704" t="s">
        <v>526</v>
      </c>
      <c r="E180" s="704">
        <v>1</v>
      </c>
      <c r="F180" s="704">
        <v>100</v>
      </c>
      <c r="H180">
        <f t="shared" si="37"/>
        <v>2033</v>
      </c>
      <c r="I180" t="str">
        <f t="shared" si="38"/>
        <v>Greater Sydney</v>
      </c>
      <c r="O180" s="704" t="s">
        <v>548</v>
      </c>
      <c r="P180" s="729"/>
      <c r="Q180" s="729"/>
      <c r="R180" s="729">
        <v>728.29044787353155</v>
      </c>
      <c r="S180" s="729">
        <v>751.8797237917388</v>
      </c>
      <c r="T180" s="729">
        <v>794.77230655595247</v>
      </c>
      <c r="U180" s="729">
        <v>854.00829753298456</v>
      </c>
      <c r="V180" s="729">
        <v>940.03879935129078</v>
      </c>
      <c r="W180" s="729">
        <v>1013.0630437252984</v>
      </c>
      <c r="X180" s="729">
        <v>1100.7952937942259</v>
      </c>
      <c r="Y180" s="729">
        <v>1147.2436970378221</v>
      </c>
      <c r="Z180" s="729">
        <v>1201.5458245728314</v>
      </c>
      <c r="AA180" s="729">
        <v>1331.2267752501321</v>
      </c>
      <c r="AB180" s="729">
        <v>1484.518156440181</v>
      </c>
      <c r="AC180" s="729">
        <v>1521.0557206296007</v>
      </c>
      <c r="AE180" t="s">
        <v>524</v>
      </c>
      <c r="AF180" s="732"/>
      <c r="AG180" s="732"/>
      <c r="AH180" s="732"/>
      <c r="AI180" s="732"/>
      <c r="AJ180" s="732"/>
      <c r="AK180" s="732"/>
      <c r="AL180" s="732"/>
      <c r="AM180" s="732"/>
      <c r="AN180" s="732"/>
      <c r="AO180" s="732"/>
      <c r="AP180" s="732"/>
      <c r="AQ180" s="732"/>
      <c r="AR180" s="732"/>
      <c r="AS180" s="732"/>
    </row>
    <row r="181" spans="1:45" x14ac:dyDescent="0.2">
      <c r="A181" s="704">
        <v>2034</v>
      </c>
      <c r="B181" s="704">
        <v>2034</v>
      </c>
      <c r="C181" s="704" t="s">
        <v>577</v>
      </c>
      <c r="D181" s="704" t="s">
        <v>526</v>
      </c>
      <c r="E181" s="704">
        <v>0.99856299999999998</v>
      </c>
      <c r="F181" s="704">
        <v>99.856300000000005</v>
      </c>
      <c r="H181">
        <f t="shared" si="37"/>
        <v>2034</v>
      </c>
      <c r="I181" t="str">
        <f t="shared" si="38"/>
        <v>Greater Sydney</v>
      </c>
      <c r="O181" s="704"/>
      <c r="P181" s="729"/>
      <c r="Q181" s="729"/>
      <c r="R181" s="729"/>
      <c r="S181" s="729"/>
      <c r="T181" s="729"/>
      <c r="U181" s="729"/>
      <c r="V181" s="729"/>
      <c r="W181" s="729"/>
      <c r="X181" s="729"/>
      <c r="Y181" s="729"/>
      <c r="Z181" s="729"/>
      <c r="AA181" s="729"/>
      <c r="AB181" s="729"/>
      <c r="AC181" s="729"/>
      <c r="AE181" t="s">
        <v>528</v>
      </c>
      <c r="AF181" s="732">
        <f>MAX(P211-P210,0)</f>
        <v>0</v>
      </c>
      <c r="AG181" s="732">
        <f t="shared" ref="AG181:AS181" si="54">MAX(Q211-Q210,0)</f>
        <v>0</v>
      </c>
      <c r="AH181" s="732">
        <f t="shared" si="54"/>
        <v>0</v>
      </c>
      <c r="AI181" s="732">
        <f t="shared" si="54"/>
        <v>69.145360356467108</v>
      </c>
      <c r="AJ181" s="732">
        <f t="shared" si="54"/>
        <v>69.293833536152192</v>
      </c>
      <c r="AK181" s="732">
        <f t="shared" si="54"/>
        <v>69.498879417935427</v>
      </c>
      <c r="AL181" s="732">
        <f t="shared" si="54"/>
        <v>69.796672720055767</v>
      </c>
      <c r="AM181" s="732">
        <f t="shared" si="54"/>
        <v>70.049445599429873</v>
      </c>
      <c r="AN181" s="732">
        <f t="shared" si="54"/>
        <v>70.353129123783901</v>
      </c>
      <c r="AO181" s="732">
        <f t="shared" si="54"/>
        <v>70.513910239116058</v>
      </c>
      <c r="AP181" s="732">
        <f t="shared" si="54"/>
        <v>70.701878963419176</v>
      </c>
      <c r="AQ181" s="732">
        <f t="shared" si="54"/>
        <v>71.150769010931299</v>
      </c>
      <c r="AR181" s="732">
        <f t="shared" si="54"/>
        <v>71.681385260691513</v>
      </c>
      <c r="AS181" s="732">
        <f t="shared" si="54"/>
        <v>71.807860814554033</v>
      </c>
    </row>
    <row r="182" spans="1:45" x14ac:dyDescent="0.2">
      <c r="A182" s="704">
        <v>2035</v>
      </c>
      <c r="B182" s="704">
        <v>2035</v>
      </c>
      <c r="C182" s="704" t="s">
        <v>577</v>
      </c>
      <c r="D182" s="704" t="s">
        <v>526</v>
      </c>
      <c r="E182" s="704">
        <v>0.99943199999999999</v>
      </c>
      <c r="F182" s="704">
        <v>99.943200000000004</v>
      </c>
      <c r="H182">
        <f t="shared" si="37"/>
        <v>2035</v>
      </c>
      <c r="I182" t="str">
        <f t="shared" si="38"/>
        <v>Greater Sydney</v>
      </c>
      <c r="O182" s="704"/>
      <c r="P182" s="729"/>
      <c r="Q182" s="729"/>
      <c r="R182" s="729"/>
      <c r="S182" s="729"/>
      <c r="T182" s="729"/>
      <c r="U182" s="729"/>
      <c r="V182" s="729"/>
      <c r="W182" s="729"/>
      <c r="X182" s="729"/>
      <c r="Y182" s="729"/>
      <c r="Z182" s="729"/>
      <c r="AA182" s="729"/>
      <c r="AB182" s="729"/>
      <c r="AC182" s="729"/>
      <c r="AF182" s="732"/>
      <c r="AG182" s="732"/>
      <c r="AH182" s="732"/>
      <c r="AI182" s="732"/>
      <c r="AJ182" s="732"/>
      <c r="AK182" s="732"/>
      <c r="AL182" s="732"/>
      <c r="AM182" s="732"/>
      <c r="AN182" s="732"/>
      <c r="AO182" s="732"/>
      <c r="AP182" s="732"/>
      <c r="AQ182" s="732"/>
      <c r="AR182" s="732"/>
      <c r="AS182" s="732"/>
    </row>
    <row r="183" spans="1:45" ht="28.5" x14ac:dyDescent="0.45">
      <c r="A183" s="704">
        <v>2036</v>
      </c>
      <c r="B183" s="704">
        <v>2036</v>
      </c>
      <c r="C183" s="704" t="s">
        <v>577</v>
      </c>
      <c r="D183" s="704" t="s">
        <v>526</v>
      </c>
      <c r="E183" s="704">
        <v>1</v>
      </c>
      <c r="F183" s="704">
        <v>100</v>
      </c>
      <c r="H183">
        <f t="shared" si="37"/>
        <v>2036</v>
      </c>
      <c r="I183" t="str">
        <f t="shared" si="38"/>
        <v>Greater Sydney</v>
      </c>
      <c r="O183" s="705" t="s">
        <v>490</v>
      </c>
      <c r="P183" s="729"/>
      <c r="Q183" s="729"/>
      <c r="R183" s="729"/>
      <c r="S183" s="729"/>
      <c r="T183" s="729"/>
      <c r="U183" s="729"/>
      <c r="V183" s="729"/>
      <c r="W183" s="729"/>
      <c r="X183" s="729"/>
      <c r="Y183" s="729"/>
      <c r="Z183" s="729"/>
      <c r="AA183" s="729"/>
      <c r="AB183" s="729"/>
      <c r="AC183" s="729"/>
      <c r="AE183" t="s">
        <v>535</v>
      </c>
      <c r="AF183" s="732"/>
      <c r="AG183" s="732"/>
      <c r="AH183" s="732"/>
      <c r="AI183" s="732"/>
      <c r="AJ183" s="732"/>
      <c r="AK183" s="732"/>
      <c r="AL183" s="732"/>
      <c r="AM183" s="732"/>
      <c r="AN183" s="732"/>
      <c r="AO183" s="732"/>
      <c r="AP183" s="732"/>
      <c r="AQ183" s="732"/>
      <c r="AR183" s="732"/>
      <c r="AS183" s="732"/>
    </row>
    <row r="184" spans="1:45" x14ac:dyDescent="0.2">
      <c r="A184" s="704">
        <v>2037</v>
      </c>
      <c r="B184" s="704">
        <v>2037</v>
      </c>
      <c r="C184" s="704" t="s">
        <v>577</v>
      </c>
      <c r="D184" s="704" t="s">
        <v>526</v>
      </c>
      <c r="E184" s="704">
        <v>0.99487000000000003</v>
      </c>
      <c r="F184" s="704">
        <v>99.486999999999995</v>
      </c>
      <c r="H184">
        <f t="shared" si="37"/>
        <v>2037</v>
      </c>
      <c r="I184" t="str">
        <f t="shared" si="38"/>
        <v>Greater Sydney</v>
      </c>
      <c r="O184" s="704" t="s">
        <v>524</v>
      </c>
      <c r="P184" s="729"/>
      <c r="Q184" s="729">
        <v>600.03778817209025</v>
      </c>
      <c r="R184" s="729">
        <v>616.34289230288073</v>
      </c>
      <c r="S184" s="729">
        <v>640.27680743619294</v>
      </c>
      <c r="T184" s="729">
        <v>683.796040693794</v>
      </c>
      <c r="U184" s="729">
        <v>743.8974500271695</v>
      </c>
      <c r="V184" s="729">
        <v>831.18483841272882</v>
      </c>
      <c r="W184" s="729">
        <v>905.27594713155224</v>
      </c>
      <c r="X184" s="729">
        <v>994.28994839645861</v>
      </c>
      <c r="Y184" s="729">
        <v>1041.4169482978436</v>
      </c>
      <c r="Z184" s="729">
        <v>1096.5124122274469</v>
      </c>
      <c r="AA184" s="729">
        <v>1228.0879815845185</v>
      </c>
      <c r="AB184" s="729">
        <v>1383.6189151541621</v>
      </c>
      <c r="AC184" s="729">
        <v>1420.6902741381164</v>
      </c>
      <c r="AE184" t="s">
        <v>528</v>
      </c>
      <c r="AF184" s="732">
        <f>MAX(P216-P215,0)</f>
        <v>0</v>
      </c>
      <c r="AG184" s="732">
        <f t="shared" ref="AG184:AS184" si="55">MAX(Q216-Q215,0)</f>
        <v>0</v>
      </c>
      <c r="AH184" s="732">
        <f t="shared" si="55"/>
        <v>117.77943325023455</v>
      </c>
      <c r="AI184" s="732">
        <f t="shared" si="55"/>
        <v>117.79597286553678</v>
      </c>
      <c r="AJ184" s="732">
        <f t="shared" si="55"/>
        <v>117.82604096134025</v>
      </c>
      <c r="AK184" s="732">
        <f t="shared" si="55"/>
        <v>117.86756537311612</v>
      </c>
      <c r="AL184" s="732">
        <f t="shared" si="55"/>
        <v>117.92787493655032</v>
      </c>
      <c r="AM184" s="732">
        <f t="shared" si="55"/>
        <v>117.97906548020717</v>
      </c>
      <c r="AN184" s="732">
        <f t="shared" si="55"/>
        <v>118.04057176795675</v>
      </c>
      <c r="AO184" s="732">
        <f t="shared" si="55"/>
        <v>118.07312750679512</v>
      </c>
      <c r="AP184" s="732">
        <f t="shared" si="55"/>
        <v>118.11120173308586</v>
      </c>
      <c r="AQ184" s="732">
        <f t="shared" si="55"/>
        <v>118.20210358927466</v>
      </c>
      <c r="AR184" s="732">
        <f t="shared" si="55"/>
        <v>118.30956598056878</v>
      </c>
      <c r="AS184" s="732">
        <f t="shared" si="55"/>
        <v>118.33518160882386</v>
      </c>
    </row>
    <row r="185" spans="1:45" x14ac:dyDescent="0.2">
      <c r="A185" s="704">
        <v>2038</v>
      </c>
      <c r="B185" s="704">
        <v>2038</v>
      </c>
      <c r="C185" s="704" t="s">
        <v>577</v>
      </c>
      <c r="D185" s="704" t="s">
        <v>526</v>
      </c>
      <c r="E185" s="704">
        <v>1</v>
      </c>
      <c r="F185" s="704">
        <v>100</v>
      </c>
      <c r="H185">
        <f t="shared" ref="H185:H248" si="56">A185*1</f>
        <v>2038</v>
      </c>
      <c r="I185" t="str">
        <f t="shared" ref="I185:I248" si="57">D185</f>
        <v>Greater Sydney</v>
      </c>
      <c r="O185" s="704" t="s">
        <v>527</v>
      </c>
      <c r="P185" s="729"/>
      <c r="Q185" s="729"/>
      <c r="R185" s="729">
        <v>711.03399438440715</v>
      </c>
      <c r="S185" s="729">
        <v>734.94519648733728</v>
      </c>
      <c r="T185" s="729">
        <v>778.42313186138858</v>
      </c>
      <c r="U185" s="729">
        <v>838.46751017383622</v>
      </c>
      <c r="V185" s="729">
        <v>925.67206901051077</v>
      </c>
      <c r="W185" s="729">
        <v>999.69286915000953</v>
      </c>
      <c r="X185" s="729">
        <v>1088.622399089387</v>
      </c>
      <c r="Y185" s="729">
        <v>1135.7046800198177</v>
      </c>
      <c r="Z185" s="729">
        <v>1190.7478585644783</v>
      </c>
      <c r="AA185" s="729">
        <v>1322.1985737588466</v>
      </c>
      <c r="AB185" s="729">
        <v>1477.5819176431105</v>
      </c>
      <c r="AC185" s="729">
        <v>1514.6180947649354</v>
      </c>
      <c r="AF185" s="732"/>
      <c r="AG185" s="732"/>
      <c r="AH185" s="732"/>
      <c r="AI185" s="732"/>
      <c r="AJ185" s="732"/>
      <c r="AK185" s="732"/>
      <c r="AL185" s="732"/>
      <c r="AM185" s="732"/>
      <c r="AN185" s="732"/>
      <c r="AO185" s="732"/>
      <c r="AP185" s="732"/>
      <c r="AQ185" s="732"/>
      <c r="AR185" s="732"/>
      <c r="AS185" s="732"/>
    </row>
    <row r="186" spans="1:45" x14ac:dyDescent="0.2">
      <c r="A186" s="704">
        <v>2039</v>
      </c>
      <c r="B186" s="704">
        <v>2039</v>
      </c>
      <c r="C186" s="704" t="s">
        <v>577</v>
      </c>
      <c r="D186" s="704" t="s">
        <v>526</v>
      </c>
      <c r="E186" s="704">
        <v>0.97726900000000005</v>
      </c>
      <c r="F186" s="704">
        <v>97.726900000000001</v>
      </c>
      <c r="H186">
        <f t="shared" si="56"/>
        <v>2039</v>
      </c>
      <c r="I186" t="str">
        <f t="shared" si="57"/>
        <v>Greater Sydney</v>
      </c>
      <c r="O186" s="704" t="s">
        <v>531</v>
      </c>
      <c r="P186" s="729"/>
      <c r="Q186" s="729"/>
      <c r="R186" s="729">
        <v>789.24662424875169</v>
      </c>
      <c r="S186" s="729">
        <v>813.25099457382316</v>
      </c>
      <c r="T186" s="729">
        <v>856.89833677366346</v>
      </c>
      <c r="U186" s="729">
        <v>917.17666962179771</v>
      </c>
      <c r="V186" s="729">
        <v>1004.7210083979222</v>
      </c>
      <c r="W186" s="729">
        <v>1079.0302226481892</v>
      </c>
      <c r="X186" s="729">
        <v>1168.3062606413662</v>
      </c>
      <c r="Y186" s="729">
        <v>1215.5719884235177</v>
      </c>
      <c r="Z186" s="729">
        <v>1270.829640031317</v>
      </c>
      <c r="AA186" s="729">
        <v>1402.7925336662663</v>
      </c>
      <c r="AB186" s="729">
        <v>1558.7813103228955</v>
      </c>
      <c r="AC186" s="729">
        <v>1595.96179898946</v>
      </c>
      <c r="AF186" s="732"/>
      <c r="AG186" s="732"/>
      <c r="AH186" s="732"/>
      <c r="AI186" s="732"/>
      <c r="AJ186" s="732"/>
      <c r="AK186" s="732"/>
      <c r="AL186" s="732"/>
      <c r="AM186" s="732"/>
      <c r="AN186" s="732"/>
      <c r="AO186" s="732"/>
      <c r="AP186" s="732"/>
      <c r="AQ186" s="732"/>
      <c r="AR186" s="732"/>
      <c r="AS186" s="732"/>
    </row>
    <row r="187" spans="1:45" ht="28.5" x14ac:dyDescent="0.45">
      <c r="A187" s="704">
        <v>2040</v>
      </c>
      <c r="B187" s="704">
        <v>2040</v>
      </c>
      <c r="C187" s="704" t="s">
        <v>577</v>
      </c>
      <c r="D187" s="704" t="s">
        <v>526</v>
      </c>
      <c r="E187" s="704">
        <v>1</v>
      </c>
      <c r="F187" s="704">
        <v>100</v>
      </c>
      <c r="H187">
        <f t="shared" si="56"/>
        <v>2040</v>
      </c>
      <c r="I187" t="str">
        <f t="shared" si="57"/>
        <v>Greater Sydney</v>
      </c>
      <c r="O187" s="704" t="s">
        <v>534</v>
      </c>
      <c r="P187" s="729"/>
      <c r="Q187" s="729"/>
      <c r="R187" s="729"/>
      <c r="S187" s="729">
        <v>882.24448165802869</v>
      </c>
      <c r="T187" s="729">
        <v>926.04029624562963</v>
      </c>
      <c r="U187" s="729">
        <v>986.52367448204302</v>
      </c>
      <c r="V187" s="729">
        <v>1074.3658081587348</v>
      </c>
      <c r="W187" s="729">
        <v>1148.9277951760821</v>
      </c>
      <c r="X187" s="729">
        <v>1238.5075163350921</v>
      </c>
      <c r="Y187" s="729">
        <v>1285.9340245149378</v>
      </c>
      <c r="Z187" s="729">
        <v>1341.3796456429379</v>
      </c>
      <c r="AA187" s="729">
        <v>1473.7914279245067</v>
      </c>
      <c r="AB187" s="729">
        <v>1630.3108198557891</v>
      </c>
      <c r="AC187" s="729">
        <v>1667.6177832906119</v>
      </c>
      <c r="AE187" s="706" t="s">
        <v>493</v>
      </c>
      <c r="AF187" s="732"/>
      <c r="AG187" s="732"/>
      <c r="AH187" s="732"/>
      <c r="AI187" s="732"/>
      <c r="AJ187" s="732"/>
      <c r="AK187" s="732"/>
      <c r="AL187" s="732"/>
      <c r="AM187" s="732"/>
      <c r="AN187" s="732"/>
      <c r="AO187" s="732"/>
      <c r="AP187" s="732"/>
      <c r="AQ187" s="732"/>
      <c r="AR187" s="732"/>
      <c r="AS187" s="732"/>
    </row>
    <row r="188" spans="1:45" x14ac:dyDescent="0.2">
      <c r="A188" s="704">
        <v>2041</v>
      </c>
      <c r="B188" s="704">
        <v>2041</v>
      </c>
      <c r="C188" s="704" t="s">
        <v>577</v>
      </c>
      <c r="D188" s="704" t="s">
        <v>526</v>
      </c>
      <c r="E188" s="704">
        <v>0.98477599999999998</v>
      </c>
      <c r="F188" s="704">
        <v>98.477599999999995</v>
      </c>
      <c r="H188">
        <f t="shared" si="56"/>
        <v>2041</v>
      </c>
      <c r="I188" t="str">
        <f t="shared" si="57"/>
        <v>Greater Sydney</v>
      </c>
      <c r="O188" s="704"/>
      <c r="P188" s="729"/>
      <c r="Q188" s="729"/>
      <c r="R188" s="729"/>
      <c r="S188" s="729"/>
      <c r="T188" s="729"/>
      <c r="U188" s="729"/>
      <c r="V188" s="729"/>
      <c r="W188" s="729"/>
      <c r="X188" s="729"/>
      <c r="Y188" s="729"/>
      <c r="Z188" s="729"/>
      <c r="AA188" s="729"/>
      <c r="AB188" s="729"/>
      <c r="AC188" s="729"/>
      <c r="AE188" t="s">
        <v>524</v>
      </c>
      <c r="AF188" s="732"/>
      <c r="AG188" s="732"/>
      <c r="AH188" s="732"/>
      <c r="AI188" s="732"/>
      <c r="AJ188" s="732"/>
      <c r="AK188" s="732"/>
      <c r="AL188" s="732"/>
      <c r="AM188" s="732"/>
      <c r="AN188" s="732"/>
      <c r="AO188" s="732"/>
      <c r="AP188" s="732"/>
      <c r="AQ188" s="732"/>
      <c r="AR188" s="732"/>
      <c r="AS188" s="732"/>
    </row>
    <row r="189" spans="1:45" x14ac:dyDescent="0.2">
      <c r="A189" s="704">
        <v>2042</v>
      </c>
      <c r="B189" s="704">
        <v>2042</v>
      </c>
      <c r="C189" s="704" t="s">
        <v>577</v>
      </c>
      <c r="D189" s="704" t="s">
        <v>526</v>
      </c>
      <c r="E189" s="704">
        <v>1</v>
      </c>
      <c r="F189" s="704">
        <v>100</v>
      </c>
      <c r="H189">
        <f t="shared" si="56"/>
        <v>2042</v>
      </c>
      <c r="I189" t="str">
        <f t="shared" si="57"/>
        <v>Greater Sydney</v>
      </c>
      <c r="O189" s="704" t="s">
        <v>535</v>
      </c>
      <c r="P189" s="729">
        <v>296.62314157242787</v>
      </c>
      <c r="Q189" s="729">
        <v>313.76439699866313</v>
      </c>
      <c r="R189" s="729">
        <v>329.91272142758856</v>
      </c>
      <c r="S189" s="729">
        <v>353.61650415831053</v>
      </c>
      <c r="T189" s="729">
        <v>396.71728467431922</v>
      </c>
      <c r="U189" s="729">
        <v>456.2407982634503</v>
      </c>
      <c r="V189" s="729">
        <v>542.68888900934485</v>
      </c>
      <c r="W189" s="729">
        <v>616.06758603444848</v>
      </c>
      <c r="X189" s="729">
        <v>704.2256857467828</v>
      </c>
      <c r="Y189" s="729">
        <v>750.89954454151552</v>
      </c>
      <c r="Z189" s="729">
        <v>805.4652463850515</v>
      </c>
      <c r="AA189" s="729">
        <v>935.7756716848246</v>
      </c>
      <c r="AB189" s="729">
        <v>1089.811121780217</v>
      </c>
      <c r="AC189" s="729">
        <v>1126.5260261830963</v>
      </c>
      <c r="AE189" t="s">
        <v>528</v>
      </c>
      <c r="AF189" s="732">
        <f>MAX(P223-P222,0)</f>
        <v>0</v>
      </c>
      <c r="AG189" s="732">
        <f t="shared" ref="AG189:AS189" si="58">MAX(Q223-Q222,0)</f>
        <v>0</v>
      </c>
      <c r="AH189" s="732">
        <f t="shared" si="58"/>
        <v>0</v>
      </c>
      <c r="AI189" s="732">
        <f t="shared" si="58"/>
        <v>68.972858729911763</v>
      </c>
      <c r="AJ189" s="732">
        <f t="shared" si="58"/>
        <v>69.121331522642208</v>
      </c>
      <c r="AK189" s="732">
        <f t="shared" si="58"/>
        <v>69.326376648150585</v>
      </c>
      <c r="AL189" s="732">
        <f t="shared" si="58"/>
        <v>69.624168104104797</v>
      </c>
      <c r="AM189" s="732">
        <f t="shared" si="58"/>
        <v>69.876942501462736</v>
      </c>
      <c r="AN189" s="732">
        <f t="shared" si="58"/>
        <v>70.1806286355054</v>
      </c>
      <c r="AO189" s="732">
        <f t="shared" si="58"/>
        <v>70.341409169725921</v>
      </c>
      <c r="AP189" s="732">
        <f t="shared" si="58"/>
        <v>70.529377258851127</v>
      </c>
      <c r="AQ189" s="732">
        <f t="shared" si="58"/>
        <v>70.97826355205666</v>
      </c>
      <c r="AR189" s="732">
        <f t="shared" si="58"/>
        <v>71.508881823599495</v>
      </c>
      <c r="AS189" s="732">
        <f t="shared" si="58"/>
        <v>71.635353926002381</v>
      </c>
    </row>
    <row r="190" spans="1:45" x14ac:dyDescent="0.2">
      <c r="A190" s="704">
        <v>2043</v>
      </c>
      <c r="B190" s="704">
        <v>2043</v>
      </c>
      <c r="C190" s="704" t="s">
        <v>577</v>
      </c>
      <c r="D190" s="704" t="s">
        <v>526</v>
      </c>
      <c r="E190" s="704">
        <v>1</v>
      </c>
      <c r="F190" s="704">
        <v>100</v>
      </c>
      <c r="H190">
        <f t="shared" si="56"/>
        <v>2043</v>
      </c>
      <c r="I190" t="str">
        <f t="shared" si="57"/>
        <v>Greater Sydney</v>
      </c>
      <c r="O190" s="704" t="s">
        <v>542</v>
      </c>
      <c r="P190" s="729"/>
      <c r="Q190" s="729">
        <v>413.4673266053685</v>
      </c>
      <c r="R190" s="729">
        <v>429.51511493479887</v>
      </c>
      <c r="S190" s="729">
        <v>453.07132291996936</v>
      </c>
      <c r="T190" s="729">
        <v>495.90376941524494</v>
      </c>
      <c r="U190" s="729">
        <v>555.05670422436719</v>
      </c>
      <c r="V190" s="729">
        <v>640.9665878309994</v>
      </c>
      <c r="W190" s="729">
        <v>713.88844668363481</v>
      </c>
      <c r="X190" s="729">
        <v>801.49769685747617</v>
      </c>
      <c r="Y190" s="729">
        <v>847.88097425046328</v>
      </c>
      <c r="Z190" s="729">
        <v>902.10696160932071</v>
      </c>
      <c r="AA190" s="729">
        <v>1031.6061079094941</v>
      </c>
      <c r="AB190" s="729">
        <v>1184.682569627266</v>
      </c>
      <c r="AC190" s="729">
        <v>1221.1688983878009</v>
      </c>
      <c r="AF190" s="732"/>
      <c r="AG190" s="732"/>
      <c r="AH190" s="732"/>
      <c r="AI190" s="732"/>
      <c r="AJ190" s="732"/>
      <c r="AK190" s="732"/>
      <c r="AL190" s="732"/>
      <c r="AM190" s="732"/>
      <c r="AN190" s="732"/>
      <c r="AO190" s="732"/>
      <c r="AP190" s="732"/>
      <c r="AQ190" s="732"/>
      <c r="AR190" s="732"/>
      <c r="AS190" s="732"/>
    </row>
    <row r="191" spans="1:45" x14ac:dyDescent="0.2">
      <c r="A191" s="704">
        <v>2044</v>
      </c>
      <c r="B191" s="704">
        <v>2044</v>
      </c>
      <c r="C191" s="704" t="s">
        <v>577</v>
      </c>
      <c r="D191" s="704" t="s">
        <v>526</v>
      </c>
      <c r="E191" s="704">
        <v>1</v>
      </c>
      <c r="F191" s="704">
        <v>100</v>
      </c>
      <c r="H191">
        <f t="shared" si="56"/>
        <v>2044</v>
      </c>
      <c r="I191" t="str">
        <f t="shared" si="57"/>
        <v>Greater Sydney</v>
      </c>
      <c r="O191" s="704" t="s">
        <v>545</v>
      </c>
      <c r="P191" s="729"/>
      <c r="Q191" s="729">
        <v>531.20474010355053</v>
      </c>
      <c r="R191" s="729">
        <v>547.26379216014402</v>
      </c>
      <c r="S191" s="729">
        <v>570.83653891905635</v>
      </c>
      <c r="T191" s="729">
        <v>613.69905184099912</v>
      </c>
      <c r="U191" s="729">
        <v>672.89351201354111</v>
      </c>
      <c r="V191" s="729">
        <v>758.86370627514361</v>
      </c>
      <c r="W191" s="729">
        <v>831.83675576149687</v>
      </c>
      <c r="X191" s="729">
        <v>919.50751054421596</v>
      </c>
      <c r="Y191" s="729">
        <v>965.92334485071217</v>
      </c>
      <c r="Z191" s="729">
        <v>1020.1874032635917</v>
      </c>
      <c r="AA191" s="729">
        <v>1149.77745662341</v>
      </c>
      <c r="AB191" s="729">
        <v>1302.9613806317088</v>
      </c>
      <c r="AC191" s="729">
        <v>1339.4733178454735</v>
      </c>
      <c r="AE191" t="s">
        <v>535</v>
      </c>
      <c r="AF191" s="732"/>
      <c r="AG191" s="732"/>
      <c r="AH191" s="732"/>
      <c r="AI191" s="732"/>
      <c r="AJ191" s="732"/>
      <c r="AK191" s="732"/>
      <c r="AL191" s="732"/>
      <c r="AM191" s="732"/>
      <c r="AN191" s="732"/>
      <c r="AO191" s="732"/>
      <c r="AP191" s="732"/>
      <c r="AQ191" s="732"/>
      <c r="AR191" s="732"/>
      <c r="AS191" s="732"/>
    </row>
    <row r="192" spans="1:45" x14ac:dyDescent="0.2">
      <c r="A192" s="704">
        <v>2045</v>
      </c>
      <c r="B192" s="704">
        <v>2045</v>
      </c>
      <c r="C192" s="704" t="s">
        <v>577</v>
      </c>
      <c r="D192" s="704" t="s">
        <v>526</v>
      </c>
      <c r="E192" s="704">
        <v>1</v>
      </c>
      <c r="F192" s="704">
        <v>100</v>
      </c>
      <c r="H192">
        <f t="shared" si="56"/>
        <v>2045</v>
      </c>
      <c r="I192" t="str">
        <f t="shared" si="57"/>
        <v>Greater Sydney</v>
      </c>
      <c r="O192" s="704" t="s">
        <v>548</v>
      </c>
      <c r="P192" s="729"/>
      <c r="Q192" s="729"/>
      <c r="R192" s="729">
        <v>665.01246938548911</v>
      </c>
      <c r="S192" s="729">
        <v>688.60175491814334</v>
      </c>
      <c r="T192" s="729">
        <v>731.4943342667533</v>
      </c>
      <c r="U192" s="729">
        <v>790.73031980271503</v>
      </c>
      <c r="V192" s="729">
        <v>876.76082471928783</v>
      </c>
      <c r="W192" s="729">
        <v>949.78506483935894</v>
      </c>
      <c r="X192" s="729">
        <v>1037.5173242309556</v>
      </c>
      <c r="Y192" s="729">
        <v>1083.9657154509609</v>
      </c>
      <c r="Z192" s="729">
        <v>1138.2678449178627</v>
      </c>
      <c r="AA192" s="729">
        <v>1267.9488053373259</v>
      </c>
      <c r="AB192" s="729">
        <v>1421.2401916361516</v>
      </c>
      <c r="AC192" s="729">
        <v>1457.7777373031461</v>
      </c>
      <c r="AE192" t="s">
        <v>528</v>
      </c>
      <c r="AF192" s="732">
        <f>MAX(P228-P227,0)</f>
        <v>0</v>
      </c>
      <c r="AG192" s="732">
        <f t="shared" ref="AG192:AS192" si="59">MAX(Q228-Q227,0)</f>
        <v>0</v>
      </c>
      <c r="AH192" s="732">
        <f t="shared" si="59"/>
        <v>117.74449933138294</v>
      </c>
      <c r="AI192" s="732">
        <f t="shared" si="59"/>
        <v>117.76103691826677</v>
      </c>
      <c r="AJ192" s="732">
        <f t="shared" si="59"/>
        <v>117.79110347698054</v>
      </c>
      <c r="AK192" s="732">
        <f t="shared" si="59"/>
        <v>117.83263184325392</v>
      </c>
      <c r="AL192" s="732">
        <f t="shared" si="59"/>
        <v>117.89294097963523</v>
      </c>
      <c r="AM192" s="732">
        <f t="shared" si="59"/>
        <v>117.94413235073489</v>
      </c>
      <c r="AN192" s="732">
        <f t="shared" si="59"/>
        <v>118.00563495702988</v>
      </c>
      <c r="AO192" s="732">
        <f t="shared" si="59"/>
        <v>118.03819695496236</v>
      </c>
      <c r="AP192" s="732">
        <f t="shared" si="59"/>
        <v>118.0762621597803</v>
      </c>
      <c r="AQ192" s="732">
        <f t="shared" si="59"/>
        <v>118.16717766306283</v>
      </c>
      <c r="AR192" s="732">
        <f t="shared" si="59"/>
        <v>118.27463703544458</v>
      </c>
      <c r="AS192" s="732">
        <f t="shared" si="59"/>
        <v>118.3002436582849</v>
      </c>
    </row>
    <row r="193" spans="1:45" x14ac:dyDescent="0.2">
      <c r="A193" s="704">
        <v>2046</v>
      </c>
      <c r="B193" s="704">
        <v>2046</v>
      </c>
      <c r="C193" s="704" t="s">
        <v>577</v>
      </c>
      <c r="D193" s="704" t="s">
        <v>526</v>
      </c>
      <c r="E193" s="704">
        <v>0.98780599999999996</v>
      </c>
      <c r="F193" s="704">
        <v>98.780600000000007</v>
      </c>
      <c r="H193">
        <f t="shared" si="56"/>
        <v>2046</v>
      </c>
      <c r="I193" t="str">
        <f t="shared" si="57"/>
        <v>Greater Sydney</v>
      </c>
      <c r="O193" s="704"/>
      <c r="P193" s="729"/>
      <c r="Q193" s="729"/>
      <c r="R193" s="729"/>
      <c r="S193" s="729"/>
      <c r="T193" s="729"/>
      <c r="U193" s="729"/>
      <c r="V193" s="729"/>
      <c r="W193" s="729"/>
      <c r="X193" s="729"/>
      <c r="Y193" s="729"/>
      <c r="Z193" s="729"/>
      <c r="AA193" s="729"/>
      <c r="AB193" s="729"/>
      <c r="AC193" s="729"/>
      <c r="AF193" s="732"/>
      <c r="AG193" s="732"/>
      <c r="AH193" s="732"/>
      <c r="AI193" s="732"/>
      <c r="AJ193" s="732"/>
      <c r="AK193" s="732"/>
      <c r="AL193" s="732"/>
      <c r="AM193" s="732"/>
      <c r="AN193" s="732"/>
      <c r="AO193" s="732"/>
      <c r="AP193" s="732"/>
      <c r="AQ193" s="732"/>
      <c r="AR193" s="732"/>
      <c r="AS193" s="732"/>
    </row>
    <row r="194" spans="1:45" x14ac:dyDescent="0.2">
      <c r="A194" s="704">
        <v>2047</v>
      </c>
      <c r="B194" s="704">
        <v>2047</v>
      </c>
      <c r="C194" s="704" t="s">
        <v>577</v>
      </c>
      <c r="D194" s="704" t="s">
        <v>526</v>
      </c>
      <c r="E194" s="704">
        <v>0.97220399999999996</v>
      </c>
      <c r="F194" s="704">
        <v>97.220399999999998</v>
      </c>
      <c r="H194">
        <f t="shared" si="56"/>
        <v>2047</v>
      </c>
      <c r="I194" t="str">
        <f t="shared" si="57"/>
        <v>Greater Sydney</v>
      </c>
      <c r="O194" s="704"/>
      <c r="P194" s="729"/>
      <c r="Q194" s="729"/>
      <c r="R194" s="729"/>
      <c r="S194" s="729"/>
      <c r="T194" s="729"/>
      <c r="U194" s="729"/>
      <c r="V194" s="729"/>
      <c r="W194" s="729"/>
      <c r="X194" s="729"/>
      <c r="Y194" s="729"/>
      <c r="Z194" s="729"/>
      <c r="AA194" s="729"/>
      <c r="AB194" s="729"/>
      <c r="AC194" s="729"/>
      <c r="AF194" s="732"/>
      <c r="AG194" s="732"/>
      <c r="AH194" s="732"/>
      <c r="AI194" s="732"/>
      <c r="AJ194" s="732"/>
      <c r="AK194" s="732"/>
      <c r="AL194" s="732"/>
      <c r="AM194" s="732"/>
      <c r="AN194" s="732"/>
      <c r="AO194" s="732"/>
      <c r="AP194" s="732"/>
      <c r="AQ194" s="732"/>
      <c r="AR194" s="732"/>
      <c r="AS194" s="732"/>
    </row>
    <row r="195" spans="1:45" ht="28.5" x14ac:dyDescent="0.45">
      <c r="A195" s="704">
        <v>2048</v>
      </c>
      <c r="B195" s="704">
        <v>2048</v>
      </c>
      <c r="C195" s="704" t="s">
        <v>577</v>
      </c>
      <c r="D195" s="704" t="s">
        <v>526</v>
      </c>
      <c r="E195" s="704">
        <v>1</v>
      </c>
      <c r="F195" s="704">
        <v>100</v>
      </c>
      <c r="H195">
        <f t="shared" si="56"/>
        <v>2048</v>
      </c>
      <c r="I195" t="str">
        <f t="shared" si="57"/>
        <v>Greater Sydney</v>
      </c>
      <c r="O195" s="705" t="s">
        <v>491</v>
      </c>
      <c r="P195" s="729"/>
      <c r="Q195" s="729"/>
      <c r="R195" s="729"/>
      <c r="S195" s="729"/>
      <c r="T195" s="729"/>
      <c r="U195" s="729"/>
      <c r="V195" s="729"/>
      <c r="W195" s="729"/>
      <c r="X195" s="729"/>
      <c r="Y195" s="729"/>
      <c r="Z195" s="729"/>
      <c r="AA195" s="729"/>
      <c r="AB195" s="729"/>
      <c r="AC195" s="729"/>
      <c r="AE195" s="706" t="s">
        <v>494</v>
      </c>
      <c r="AF195" s="732"/>
      <c r="AG195" s="732"/>
      <c r="AH195" s="732"/>
      <c r="AI195" s="732"/>
      <c r="AJ195" s="732"/>
      <c r="AK195" s="732"/>
      <c r="AL195" s="732"/>
      <c r="AM195" s="732"/>
      <c r="AN195" s="732"/>
      <c r="AO195" s="732"/>
      <c r="AP195" s="732"/>
      <c r="AQ195" s="732"/>
      <c r="AR195" s="732"/>
      <c r="AS195" s="732"/>
    </row>
    <row r="196" spans="1:45" x14ac:dyDescent="0.2">
      <c r="A196" s="704">
        <v>2049</v>
      </c>
      <c r="B196" s="704">
        <v>2049</v>
      </c>
      <c r="C196" s="704" t="s">
        <v>577</v>
      </c>
      <c r="D196" s="704" t="s">
        <v>526</v>
      </c>
      <c r="E196" s="704">
        <v>1</v>
      </c>
      <c r="F196" s="704">
        <v>100</v>
      </c>
      <c r="H196">
        <f t="shared" si="56"/>
        <v>2049</v>
      </c>
      <c r="I196" t="str">
        <f t="shared" si="57"/>
        <v>Greater Sydney</v>
      </c>
      <c r="O196" s="704" t="s">
        <v>524</v>
      </c>
      <c r="P196" s="729"/>
      <c r="Q196" s="729">
        <v>666.44378721898829</v>
      </c>
      <c r="R196" s="729">
        <v>682.74889105014927</v>
      </c>
      <c r="S196" s="729">
        <v>706.68280581750162</v>
      </c>
      <c r="T196" s="729">
        <v>750.20203857648255</v>
      </c>
      <c r="U196" s="729">
        <v>810.30344877596292</v>
      </c>
      <c r="V196" s="729">
        <v>897.59083710052892</v>
      </c>
      <c r="W196" s="729">
        <v>971.68194553573358</v>
      </c>
      <c r="X196" s="729">
        <v>1060.6959472153944</v>
      </c>
      <c r="Y196" s="729">
        <v>1107.8229463238663</v>
      </c>
      <c r="Z196" s="729">
        <v>1162.9184115099317</v>
      </c>
      <c r="AA196" s="729">
        <v>1294.4939795800444</v>
      </c>
      <c r="AB196" s="729">
        <v>1450.0249130642978</v>
      </c>
      <c r="AC196" s="729">
        <v>1487.0962743172024</v>
      </c>
      <c r="AE196" t="s">
        <v>524</v>
      </c>
      <c r="AF196" s="732"/>
      <c r="AG196" s="732"/>
      <c r="AH196" s="732"/>
      <c r="AI196" s="732"/>
      <c r="AJ196" s="732"/>
      <c r="AK196" s="732"/>
      <c r="AL196" s="732"/>
      <c r="AM196" s="732"/>
      <c r="AN196" s="732"/>
      <c r="AO196" s="732"/>
      <c r="AP196" s="732"/>
      <c r="AQ196" s="732"/>
      <c r="AR196" s="732"/>
      <c r="AS196" s="732"/>
    </row>
    <row r="197" spans="1:45" x14ac:dyDescent="0.2">
      <c r="A197" s="704">
        <v>2050</v>
      </c>
      <c r="B197" s="704">
        <v>2050</v>
      </c>
      <c r="C197" s="704" t="s">
        <v>577</v>
      </c>
      <c r="D197" s="704" t="s">
        <v>526</v>
      </c>
      <c r="E197" s="704">
        <v>1</v>
      </c>
      <c r="F197" s="704">
        <v>100</v>
      </c>
      <c r="H197">
        <f t="shared" si="56"/>
        <v>2050</v>
      </c>
      <c r="I197" t="str">
        <f t="shared" si="57"/>
        <v>Greater Sydney</v>
      </c>
      <c r="O197" s="704" t="s">
        <v>527</v>
      </c>
      <c r="P197" s="729"/>
      <c r="Q197" s="729"/>
      <c r="R197" s="729">
        <v>777.37697598235809</v>
      </c>
      <c r="S197" s="729">
        <v>801.28818028657054</v>
      </c>
      <c r="T197" s="729">
        <v>844.76611604090976</v>
      </c>
      <c r="U197" s="729">
        <v>904.81049193999138</v>
      </c>
      <c r="V197" s="729">
        <v>992.01505159574788</v>
      </c>
      <c r="W197" s="729">
        <v>1066.0358495997834</v>
      </c>
      <c r="X197" s="729">
        <v>1154.9653836345697</v>
      </c>
      <c r="Y197" s="729">
        <v>1202.0476591239571</v>
      </c>
      <c r="Z197" s="729">
        <v>1257.0908419102914</v>
      </c>
      <c r="AA197" s="729">
        <v>1388.5415530385035</v>
      </c>
      <c r="AB197" s="729">
        <v>1543.9248961621911</v>
      </c>
      <c r="AC197" s="729">
        <v>1580.9610786080477</v>
      </c>
      <c r="AE197" t="s">
        <v>528</v>
      </c>
      <c r="AF197" s="732">
        <f>MAX(P235-P234,0)</f>
        <v>0</v>
      </c>
      <c r="AG197" s="732">
        <f t="shared" ref="AG197:AS197" si="60">MAX(Q235-Q234,0)</f>
        <v>0</v>
      </c>
      <c r="AH197" s="732">
        <f t="shared" si="60"/>
        <v>0</v>
      </c>
      <c r="AI197" s="732">
        <f t="shared" si="60"/>
        <v>68.892404492573405</v>
      </c>
      <c r="AJ197" s="732">
        <f t="shared" si="60"/>
        <v>69.040876442153376</v>
      </c>
      <c r="AK197" s="732">
        <f t="shared" si="60"/>
        <v>69.245919792559789</v>
      </c>
      <c r="AL197" s="732">
        <f t="shared" si="60"/>
        <v>69.543717244238337</v>
      </c>
      <c r="AM197" s="732">
        <f t="shared" si="60"/>
        <v>69.796487791487834</v>
      </c>
      <c r="AN197" s="732">
        <f t="shared" si="60"/>
        <v>70.100173650169836</v>
      </c>
      <c r="AO197" s="732">
        <f t="shared" si="60"/>
        <v>70.260954233763414</v>
      </c>
      <c r="AP197" s="732">
        <f t="shared" si="60"/>
        <v>70.448920378767752</v>
      </c>
      <c r="AQ197" s="732">
        <f t="shared" si="60"/>
        <v>70.897810635076439</v>
      </c>
      <c r="AR197" s="732">
        <f t="shared" si="60"/>
        <v>71.428431153482961</v>
      </c>
      <c r="AS197" s="732">
        <f t="shared" si="60"/>
        <v>71.554902714759237</v>
      </c>
    </row>
    <row r="198" spans="1:45" x14ac:dyDescent="0.2">
      <c r="A198" s="704">
        <v>2052</v>
      </c>
      <c r="B198" s="704">
        <v>2052</v>
      </c>
      <c r="C198" s="704" t="s">
        <v>577</v>
      </c>
      <c r="D198" s="704" t="s">
        <v>526</v>
      </c>
      <c r="E198" s="704">
        <v>1</v>
      </c>
      <c r="F198" s="704">
        <v>100</v>
      </c>
      <c r="H198">
        <f t="shared" si="56"/>
        <v>2052</v>
      </c>
      <c r="I198" t="str">
        <f t="shared" si="57"/>
        <v>Greater Sydney</v>
      </c>
      <c r="O198" s="704" t="s">
        <v>531</v>
      </c>
      <c r="P198" s="729"/>
      <c r="Q198" s="729"/>
      <c r="R198" s="729">
        <v>855.84810585407286</v>
      </c>
      <c r="S198" s="729">
        <v>879.85247590770587</v>
      </c>
      <c r="T198" s="729">
        <v>923.49981700050307</v>
      </c>
      <c r="U198" s="729">
        <v>983.77815171145028</v>
      </c>
      <c r="V198" s="729">
        <v>1071.3224897956727</v>
      </c>
      <c r="W198" s="729">
        <v>1145.6317050252474</v>
      </c>
      <c r="X198" s="729">
        <v>1234.9077396121377</v>
      </c>
      <c r="Y198" s="729">
        <v>1282.1734691825898</v>
      </c>
      <c r="Z198" s="729">
        <v>1337.431122344507</v>
      </c>
      <c r="AA198" s="729">
        <v>1469.394013999552</v>
      </c>
      <c r="AB198" s="729">
        <v>1625.3827918483819</v>
      </c>
      <c r="AC198" s="729">
        <v>1662.563281451675</v>
      </c>
      <c r="AF198" s="732"/>
      <c r="AG198" s="732"/>
      <c r="AH198" s="732"/>
      <c r="AI198" s="732"/>
      <c r="AJ198" s="732"/>
      <c r="AK198" s="732"/>
      <c r="AL198" s="732"/>
      <c r="AM198" s="732"/>
      <c r="AN198" s="732"/>
      <c r="AO198" s="732"/>
      <c r="AP198" s="732"/>
      <c r="AQ198" s="732"/>
      <c r="AR198" s="732"/>
      <c r="AS198" s="732"/>
    </row>
    <row r="199" spans="1:45" x14ac:dyDescent="0.2">
      <c r="A199" s="704">
        <v>2060</v>
      </c>
      <c r="B199" s="704">
        <v>2060</v>
      </c>
      <c r="C199" s="704" t="s">
        <v>577</v>
      </c>
      <c r="D199" s="704" t="s">
        <v>526</v>
      </c>
      <c r="E199" s="704">
        <v>0.99163299999999999</v>
      </c>
      <c r="F199" s="704">
        <v>99.163300000000007</v>
      </c>
      <c r="H199">
        <f t="shared" si="56"/>
        <v>2060</v>
      </c>
      <c r="I199" t="str">
        <f t="shared" si="57"/>
        <v>Greater Sydney</v>
      </c>
      <c r="O199" s="704" t="s">
        <v>534</v>
      </c>
      <c r="P199" s="729"/>
      <c r="Q199" s="729"/>
      <c r="R199" s="729"/>
      <c r="S199" s="729">
        <v>949.07251808351612</v>
      </c>
      <c r="T199" s="729">
        <v>992.86833124103896</v>
      </c>
      <c r="U199" s="729">
        <v>1053.351708455968</v>
      </c>
      <c r="V199" s="729">
        <v>1141.1938440005172</v>
      </c>
      <c r="W199" s="729">
        <v>1215.7558308427529</v>
      </c>
      <c r="X199" s="729">
        <v>1305.3355488497541</v>
      </c>
      <c r="Y199" s="729">
        <v>1352.7620613490187</v>
      </c>
      <c r="Z199" s="729">
        <v>1408.2076795584924</v>
      </c>
      <c r="AA199" s="729">
        <v>1540.6194635911772</v>
      </c>
      <c r="AB199" s="729">
        <v>1697.1388593749152</v>
      </c>
      <c r="AC199" s="729">
        <v>1734.4458167392022</v>
      </c>
      <c r="AE199" t="s">
        <v>535</v>
      </c>
      <c r="AF199" s="732"/>
      <c r="AG199" s="732"/>
      <c r="AH199" s="732"/>
      <c r="AI199" s="732"/>
      <c r="AJ199" s="732"/>
      <c r="AK199" s="732"/>
      <c r="AL199" s="732"/>
      <c r="AM199" s="732"/>
      <c r="AN199" s="732"/>
      <c r="AO199" s="732"/>
      <c r="AP199" s="732"/>
      <c r="AQ199" s="732"/>
      <c r="AR199" s="732"/>
      <c r="AS199" s="732"/>
    </row>
    <row r="200" spans="1:45" x14ac:dyDescent="0.2">
      <c r="A200" s="704">
        <v>2061</v>
      </c>
      <c r="B200" s="704">
        <v>2061</v>
      </c>
      <c r="C200" s="704" t="s">
        <v>577</v>
      </c>
      <c r="D200" s="704" t="s">
        <v>526</v>
      </c>
      <c r="E200" s="704">
        <v>0.97736199999999995</v>
      </c>
      <c r="F200" s="704">
        <v>97.736199999999997</v>
      </c>
      <c r="H200">
        <f t="shared" si="56"/>
        <v>2061</v>
      </c>
      <c r="I200" t="str">
        <f t="shared" si="57"/>
        <v>Greater Sydney</v>
      </c>
      <c r="O200" s="704"/>
      <c r="P200" s="729"/>
      <c r="Q200" s="729"/>
      <c r="R200" s="729"/>
      <c r="S200" s="729"/>
      <c r="T200" s="729"/>
      <c r="U200" s="729"/>
      <c r="V200" s="729"/>
      <c r="W200" s="729"/>
      <c r="X200" s="729"/>
      <c r="Y200" s="729"/>
      <c r="Z200" s="729"/>
      <c r="AA200" s="729"/>
      <c r="AB200" s="729"/>
      <c r="AC200" s="729"/>
      <c r="AE200" t="s">
        <v>528</v>
      </c>
      <c r="AF200" s="732">
        <f>MAX(P240-P239,0)</f>
        <v>0</v>
      </c>
      <c r="AG200" s="732">
        <f t="shared" ref="AG200:AS200" si="61">MAX(Q240-Q239,0)</f>
        <v>0</v>
      </c>
      <c r="AH200" s="732">
        <f t="shared" si="61"/>
        <v>117.72820581703741</v>
      </c>
      <c r="AI200" s="732">
        <f t="shared" si="61"/>
        <v>117.74474290780074</v>
      </c>
      <c r="AJ200" s="732">
        <f t="shared" si="61"/>
        <v>117.77481143430396</v>
      </c>
      <c r="AK200" s="732">
        <f t="shared" si="61"/>
        <v>117.81633799897531</v>
      </c>
      <c r="AL200" s="732">
        <f t="shared" si="61"/>
        <v>117.87664601448103</v>
      </c>
      <c r="AM200" s="732">
        <f t="shared" si="61"/>
        <v>117.92783862170859</v>
      </c>
      <c r="AN200" s="732">
        <f t="shared" si="61"/>
        <v>117.9893371912907</v>
      </c>
      <c r="AO200" s="732">
        <f t="shared" si="61"/>
        <v>118.02190217140105</v>
      </c>
      <c r="AP200" s="732">
        <f t="shared" si="61"/>
        <v>118.05996889527705</v>
      </c>
      <c r="AQ200" s="732">
        <f t="shared" si="61"/>
        <v>118.15087409462194</v>
      </c>
      <c r="AR200" s="732">
        <f t="shared" si="61"/>
        <v>118.25833091759978</v>
      </c>
      <c r="AS200" s="732">
        <f t="shared" si="61"/>
        <v>118.28394946326466</v>
      </c>
    </row>
    <row r="201" spans="1:45" x14ac:dyDescent="0.2">
      <c r="A201" s="704">
        <v>2062</v>
      </c>
      <c r="B201" s="704">
        <v>2062</v>
      </c>
      <c r="C201" s="704" t="s">
        <v>577</v>
      </c>
      <c r="D201" s="704" t="s">
        <v>526</v>
      </c>
      <c r="E201" s="704">
        <v>1</v>
      </c>
      <c r="F201" s="704">
        <v>100</v>
      </c>
      <c r="H201">
        <f t="shared" si="56"/>
        <v>2062</v>
      </c>
      <c r="I201" t="str">
        <f t="shared" si="57"/>
        <v>Greater Sydney</v>
      </c>
      <c r="O201" s="704" t="s">
        <v>535</v>
      </c>
      <c r="P201" s="729">
        <v>362.39062370183848</v>
      </c>
      <c r="Q201" s="729">
        <v>379.53187881489634</v>
      </c>
      <c r="R201" s="729">
        <v>395.68020395448639</v>
      </c>
      <c r="S201" s="729">
        <v>419.38398558328845</v>
      </c>
      <c r="T201" s="729">
        <v>462.48476620640503</v>
      </c>
      <c r="U201" s="729">
        <v>522.00828079659948</v>
      </c>
      <c r="V201" s="729">
        <v>608.45637098736643</v>
      </c>
      <c r="W201" s="729">
        <v>681.83506721562037</v>
      </c>
      <c r="X201" s="729">
        <v>769.99316838162213</v>
      </c>
      <c r="Y201" s="729">
        <v>816.66702629615247</v>
      </c>
      <c r="Z201" s="729">
        <v>871.2327287798355</v>
      </c>
      <c r="AA201" s="729">
        <v>1001.5431535394843</v>
      </c>
      <c r="AB201" s="729">
        <v>1155.5786033614806</v>
      </c>
      <c r="AC201" s="729">
        <v>1192.2935080577608</v>
      </c>
    </row>
    <row r="202" spans="1:45" x14ac:dyDescent="0.2">
      <c r="A202" s="704">
        <v>2063</v>
      </c>
      <c r="B202" s="704">
        <v>2063</v>
      </c>
      <c r="C202" s="704" t="s">
        <v>577</v>
      </c>
      <c r="D202" s="704" t="s">
        <v>526</v>
      </c>
      <c r="E202" s="704">
        <v>1</v>
      </c>
      <c r="F202" s="704">
        <v>100</v>
      </c>
      <c r="H202">
        <f t="shared" si="56"/>
        <v>2063</v>
      </c>
      <c r="I202" t="str">
        <f t="shared" si="57"/>
        <v>Greater Sydney</v>
      </c>
      <c r="O202" s="704" t="s">
        <v>542</v>
      </c>
      <c r="P202" s="729"/>
      <c r="Q202" s="729">
        <v>478.82535605766657</v>
      </c>
      <c r="R202" s="729">
        <v>494.87314521751244</v>
      </c>
      <c r="S202" s="729">
        <v>518.42935334026652</v>
      </c>
      <c r="T202" s="729">
        <v>561.26179877418269</v>
      </c>
      <c r="U202" s="729">
        <v>620.41473356365009</v>
      </c>
      <c r="V202" s="729">
        <v>706.32461760268791</v>
      </c>
      <c r="W202" s="729">
        <v>779.24647696634838</v>
      </c>
      <c r="X202" s="729">
        <v>866.85572678640324</v>
      </c>
      <c r="Y202" s="729">
        <v>913.23900111324065</v>
      </c>
      <c r="Z202" s="729">
        <v>967.46499373958579</v>
      </c>
      <c r="AA202" s="729">
        <v>1096.9641359515601</v>
      </c>
      <c r="AB202" s="729">
        <v>1250.0406001065278</v>
      </c>
      <c r="AC202" s="729">
        <v>1286.5269252505782</v>
      </c>
    </row>
    <row r="203" spans="1:45" ht="28.5" x14ac:dyDescent="0.45">
      <c r="A203" s="704">
        <v>2064</v>
      </c>
      <c r="B203" s="704">
        <v>2064</v>
      </c>
      <c r="C203" s="704" t="s">
        <v>577</v>
      </c>
      <c r="D203" s="704" t="s">
        <v>526</v>
      </c>
      <c r="E203" s="704">
        <v>1</v>
      </c>
      <c r="F203" s="704">
        <v>100</v>
      </c>
      <c r="H203">
        <f t="shared" si="56"/>
        <v>2064</v>
      </c>
      <c r="I203" t="str">
        <f t="shared" si="57"/>
        <v>Greater Sydney</v>
      </c>
      <c r="O203" s="704" t="s">
        <v>545</v>
      </c>
      <c r="P203" s="729"/>
      <c r="Q203" s="729">
        <v>596.60864880112558</v>
      </c>
      <c r="R203" s="729">
        <v>612.66770610546962</v>
      </c>
      <c r="S203" s="729">
        <v>636.24044990655887</v>
      </c>
      <c r="T203" s="729">
        <v>679.10296161197755</v>
      </c>
      <c r="U203" s="729">
        <v>738.29742493316974</v>
      </c>
      <c r="V203" s="729">
        <v>824.26761690484466</v>
      </c>
      <c r="W203" s="729">
        <v>897.24066729762774</v>
      </c>
      <c r="X203" s="729">
        <v>984.91141711883733</v>
      </c>
      <c r="Y203" s="729">
        <v>1031.3272582951161</v>
      </c>
      <c r="Z203" s="729">
        <v>1085.5913157538591</v>
      </c>
      <c r="AA203" s="729">
        <v>1215.1813659650268</v>
      </c>
      <c r="AB203" s="729">
        <v>1368.3652914999443</v>
      </c>
      <c r="AC203" s="729">
        <v>1404.8772334843914</v>
      </c>
      <c r="AE203" s="706" t="s">
        <v>495</v>
      </c>
      <c r="AF203" s="732"/>
      <c r="AG203" s="732"/>
      <c r="AH203" s="732"/>
      <c r="AI203" s="732"/>
      <c r="AJ203" s="732"/>
      <c r="AK203" s="732"/>
      <c r="AL203" s="732"/>
      <c r="AM203" s="732"/>
      <c r="AN203" s="732"/>
      <c r="AO203" s="732"/>
      <c r="AP203" s="732"/>
      <c r="AQ203" s="732"/>
      <c r="AR203" s="732"/>
      <c r="AS203" s="732"/>
    </row>
    <row r="204" spans="1:45" x14ac:dyDescent="0.2">
      <c r="A204" s="704">
        <v>2065</v>
      </c>
      <c r="B204" s="704">
        <v>2065</v>
      </c>
      <c r="C204" s="704" t="s">
        <v>577</v>
      </c>
      <c r="D204" s="704" t="s">
        <v>526</v>
      </c>
      <c r="E204" s="704">
        <v>0.99956100000000003</v>
      </c>
      <c r="F204" s="704">
        <v>99.956100000000006</v>
      </c>
      <c r="H204">
        <f t="shared" si="56"/>
        <v>2065</v>
      </c>
      <c r="I204" t="str">
        <f t="shared" si="57"/>
        <v>Greater Sydney</v>
      </c>
      <c r="O204" s="704" t="s">
        <v>548</v>
      </c>
      <c r="P204" s="729"/>
      <c r="Q204" s="729"/>
      <c r="R204" s="729">
        <v>730.46226699342674</v>
      </c>
      <c r="S204" s="729">
        <v>754.05154647285121</v>
      </c>
      <c r="T204" s="729">
        <v>796.9441244497724</v>
      </c>
      <c r="U204" s="729">
        <v>856.18011630268938</v>
      </c>
      <c r="V204" s="729">
        <v>942.21061620700141</v>
      </c>
      <c r="W204" s="729">
        <v>1015.2348576289071</v>
      </c>
      <c r="X204" s="729">
        <v>1102.9671074512714</v>
      </c>
      <c r="Y204" s="729">
        <v>1149.4155154769915</v>
      </c>
      <c r="Z204" s="729">
        <v>1203.7176377681326</v>
      </c>
      <c r="AA204" s="729">
        <v>1333.3985959784934</v>
      </c>
      <c r="AB204" s="729">
        <v>1486.6899828933608</v>
      </c>
      <c r="AC204" s="729">
        <v>1523.2275417182045</v>
      </c>
      <c r="AE204" t="s">
        <v>524</v>
      </c>
      <c r="AF204" s="732"/>
      <c r="AG204" s="732"/>
      <c r="AH204" s="732"/>
      <c r="AI204" s="732"/>
      <c r="AJ204" s="732"/>
      <c r="AK204" s="732"/>
      <c r="AL204" s="732"/>
      <c r="AM204" s="732"/>
      <c r="AN204" s="732"/>
      <c r="AO204" s="732"/>
      <c r="AP204" s="732"/>
      <c r="AQ204" s="732"/>
      <c r="AR204" s="732"/>
      <c r="AS204" s="732"/>
    </row>
    <row r="205" spans="1:45" x14ac:dyDescent="0.2">
      <c r="A205" s="704">
        <v>2066</v>
      </c>
      <c r="B205" s="704">
        <v>2066</v>
      </c>
      <c r="C205" s="704" t="s">
        <v>577</v>
      </c>
      <c r="D205" s="704" t="s">
        <v>526</v>
      </c>
      <c r="E205" s="704">
        <v>0.99534</v>
      </c>
      <c r="F205" s="704">
        <v>99.533900000000003</v>
      </c>
      <c r="H205">
        <f t="shared" si="56"/>
        <v>2066</v>
      </c>
      <c r="I205" t="str">
        <f t="shared" si="57"/>
        <v>Greater Sydney</v>
      </c>
      <c r="O205" s="704"/>
      <c r="P205" s="729"/>
      <c r="Q205" s="729"/>
      <c r="R205" s="729"/>
      <c r="S205" s="729"/>
      <c r="T205" s="729"/>
      <c r="U205" s="729"/>
      <c r="V205" s="729"/>
      <c r="W205" s="729"/>
      <c r="X205" s="729"/>
      <c r="Y205" s="729"/>
      <c r="Z205" s="729"/>
      <c r="AA205" s="729"/>
      <c r="AB205" s="729"/>
      <c r="AC205" s="729"/>
      <c r="AE205" t="s">
        <v>528</v>
      </c>
      <c r="AF205" s="732">
        <f>MAX(P247-P246,0)</f>
        <v>0</v>
      </c>
      <c r="AG205" s="732">
        <f t="shared" ref="AG205:AS205" si="62">MAX(Q247-Q246,0)</f>
        <v>0</v>
      </c>
      <c r="AH205" s="732">
        <f t="shared" si="62"/>
        <v>0</v>
      </c>
      <c r="AI205" s="732">
        <f t="shared" si="62"/>
        <v>69.074086061242724</v>
      </c>
      <c r="AJ205" s="732">
        <f t="shared" si="62"/>
        <v>69.222559985177782</v>
      </c>
      <c r="AK205" s="732">
        <f t="shared" si="62"/>
        <v>69.427603775864782</v>
      </c>
      <c r="AL205" s="732">
        <f t="shared" si="62"/>
        <v>69.72539764584667</v>
      </c>
      <c r="AM205" s="732">
        <f t="shared" si="62"/>
        <v>69.978170026075531</v>
      </c>
      <c r="AN205" s="732">
        <f t="shared" si="62"/>
        <v>70.281855918935207</v>
      </c>
      <c r="AO205" s="732">
        <f t="shared" si="62"/>
        <v>70.442638579285358</v>
      </c>
      <c r="AP205" s="732">
        <f t="shared" si="62"/>
        <v>70.630602679921139</v>
      </c>
      <c r="AQ205" s="732">
        <f t="shared" si="62"/>
        <v>71.079491935735632</v>
      </c>
      <c r="AR205" s="732">
        <f t="shared" si="62"/>
        <v>71.610111326509923</v>
      </c>
      <c r="AS205" s="732">
        <f t="shared" si="62"/>
        <v>71.736585784323552</v>
      </c>
    </row>
    <row r="206" spans="1:45" x14ac:dyDescent="0.2">
      <c r="A206" s="704">
        <v>2067</v>
      </c>
      <c r="B206" s="704">
        <v>2067</v>
      </c>
      <c r="C206" s="704" t="s">
        <v>577</v>
      </c>
      <c r="D206" s="704" t="s">
        <v>526</v>
      </c>
      <c r="E206" s="704">
        <v>1</v>
      </c>
      <c r="F206" s="704">
        <v>100</v>
      </c>
      <c r="H206">
        <f t="shared" si="56"/>
        <v>2067</v>
      </c>
      <c r="I206" t="str">
        <f t="shared" si="57"/>
        <v>Greater Sydney</v>
      </c>
      <c r="O206" s="704"/>
      <c r="P206" s="729"/>
      <c r="Q206" s="729"/>
      <c r="R206" s="729"/>
      <c r="S206" s="729"/>
      <c r="T206" s="729"/>
      <c r="U206" s="729"/>
      <c r="V206" s="729"/>
      <c r="W206" s="729"/>
      <c r="X206" s="729"/>
      <c r="Y206" s="729"/>
      <c r="Z206" s="729"/>
      <c r="AA206" s="729"/>
      <c r="AB206" s="729"/>
      <c r="AC206" s="729"/>
      <c r="AF206" s="732"/>
      <c r="AG206" s="732"/>
      <c r="AH206" s="732"/>
      <c r="AI206" s="732"/>
      <c r="AJ206" s="732"/>
      <c r="AK206" s="732"/>
      <c r="AL206" s="732"/>
      <c r="AM206" s="732"/>
      <c r="AN206" s="732"/>
      <c r="AO206" s="732"/>
      <c r="AP206" s="732"/>
      <c r="AQ206" s="732"/>
      <c r="AR206" s="732"/>
      <c r="AS206" s="732"/>
    </row>
    <row r="207" spans="1:45" ht="28.5" x14ac:dyDescent="0.45">
      <c r="A207" s="704">
        <v>2068</v>
      </c>
      <c r="B207" s="704">
        <v>2068</v>
      </c>
      <c r="C207" s="704" t="s">
        <v>577</v>
      </c>
      <c r="D207" s="704" t="s">
        <v>526</v>
      </c>
      <c r="E207" s="704">
        <v>0.99824000000000002</v>
      </c>
      <c r="F207" s="704">
        <v>99.824100000000001</v>
      </c>
      <c r="H207">
        <f t="shared" si="56"/>
        <v>2068</v>
      </c>
      <c r="I207" t="str">
        <f t="shared" si="57"/>
        <v>Greater Sydney</v>
      </c>
      <c r="O207" s="705" t="s">
        <v>492</v>
      </c>
      <c r="P207" s="729"/>
      <c r="Q207" s="729"/>
      <c r="R207" s="729"/>
      <c r="S207" s="729"/>
      <c r="T207" s="729"/>
      <c r="U207" s="729"/>
      <c r="V207" s="729"/>
      <c r="W207" s="729"/>
      <c r="X207" s="729"/>
      <c r="Y207" s="729"/>
      <c r="Z207" s="729"/>
      <c r="AA207" s="729"/>
      <c r="AB207" s="729"/>
      <c r="AC207" s="729"/>
      <c r="AE207" t="s">
        <v>535</v>
      </c>
      <c r="AF207" s="732"/>
      <c r="AG207" s="732"/>
      <c r="AH207" s="732"/>
      <c r="AI207" s="732"/>
      <c r="AJ207" s="732"/>
      <c r="AK207" s="732"/>
      <c r="AL207" s="732"/>
      <c r="AM207" s="732"/>
      <c r="AN207" s="732"/>
      <c r="AO207" s="732"/>
      <c r="AP207" s="732"/>
      <c r="AQ207" s="732"/>
      <c r="AR207" s="732"/>
      <c r="AS207" s="732"/>
    </row>
    <row r="208" spans="1:45" x14ac:dyDescent="0.2">
      <c r="A208" s="704">
        <v>2069</v>
      </c>
      <c r="B208" s="704">
        <v>2069</v>
      </c>
      <c r="C208" s="704" t="s">
        <v>577</v>
      </c>
      <c r="D208" s="704" t="s">
        <v>526</v>
      </c>
      <c r="E208" s="704">
        <v>1</v>
      </c>
      <c r="F208" s="704">
        <v>100</v>
      </c>
      <c r="H208">
        <f t="shared" si="56"/>
        <v>2069</v>
      </c>
      <c r="I208" t="str">
        <f t="shared" si="57"/>
        <v>Greater Sydney</v>
      </c>
      <c r="O208" s="704" t="s">
        <v>524</v>
      </c>
      <c r="P208" s="729"/>
      <c r="Q208" s="729">
        <v>644.55408539419193</v>
      </c>
      <c r="R208" s="729">
        <v>660.85918883575812</v>
      </c>
      <c r="S208" s="729">
        <v>684.79310448141393</v>
      </c>
      <c r="T208" s="729">
        <v>728.31233739135325</v>
      </c>
      <c r="U208" s="729">
        <v>788.41374709983768</v>
      </c>
      <c r="V208" s="729">
        <v>875.70113527192029</v>
      </c>
      <c r="W208" s="729">
        <v>949.79224405783657</v>
      </c>
      <c r="X208" s="729">
        <v>1038.8062453898356</v>
      </c>
      <c r="Y208" s="729">
        <v>1085.9332449252606</v>
      </c>
      <c r="Z208" s="729">
        <v>1141.0287095501876</v>
      </c>
      <c r="AA208" s="729">
        <v>1272.6042783156238</v>
      </c>
      <c r="AB208" s="729">
        <v>1428.1352116900894</v>
      </c>
      <c r="AC208" s="729">
        <v>1465.2065713083739</v>
      </c>
      <c r="AE208" t="s">
        <v>528</v>
      </c>
      <c r="AF208" s="732">
        <f>MAX(P252-P251,0)</f>
        <v>0</v>
      </c>
      <c r="AG208" s="732">
        <f t="shared" ref="AG208:AS208" si="63">MAX(Q252-Q251,0)</f>
        <v>0</v>
      </c>
      <c r="AH208" s="732">
        <f t="shared" si="63"/>
        <v>117.76500171202133</v>
      </c>
      <c r="AI208" s="732">
        <f t="shared" si="63"/>
        <v>117.78153664785634</v>
      </c>
      <c r="AJ208" s="732">
        <f t="shared" si="63"/>
        <v>117.81160497914948</v>
      </c>
      <c r="AK208" s="732">
        <f t="shared" si="63"/>
        <v>117.85313149934257</v>
      </c>
      <c r="AL208" s="732">
        <f t="shared" si="63"/>
        <v>117.91344107274665</v>
      </c>
      <c r="AM208" s="732">
        <f t="shared" si="63"/>
        <v>117.9646309290373</v>
      </c>
      <c r="AN208" s="732">
        <f t="shared" si="63"/>
        <v>118.02613522454169</v>
      </c>
      <c r="AO208" s="732">
        <f t="shared" si="63"/>
        <v>118.05869056566655</v>
      </c>
      <c r="AP208" s="732">
        <f t="shared" si="63"/>
        <v>118.09675853600902</v>
      </c>
      <c r="AQ208" s="732">
        <f t="shared" si="63"/>
        <v>118.18766558862603</v>
      </c>
      <c r="AR208" s="732">
        <f t="shared" si="63"/>
        <v>118.29512497097767</v>
      </c>
      <c r="AS208" s="732">
        <f t="shared" si="63"/>
        <v>118.32074304492767</v>
      </c>
    </row>
    <row r="209" spans="1:45" x14ac:dyDescent="0.2">
      <c r="A209" s="704">
        <v>2070</v>
      </c>
      <c r="B209" s="704">
        <v>2070</v>
      </c>
      <c r="C209" s="704" t="s">
        <v>577</v>
      </c>
      <c r="D209" s="704" t="s">
        <v>526</v>
      </c>
      <c r="E209" s="704">
        <v>1</v>
      </c>
      <c r="F209" s="704">
        <v>100</v>
      </c>
      <c r="H209">
        <f t="shared" si="56"/>
        <v>2070</v>
      </c>
      <c r="I209" t="str">
        <f t="shared" si="57"/>
        <v>Greater Sydney</v>
      </c>
      <c r="O209" s="704" t="s">
        <v>527</v>
      </c>
      <c r="P209" s="729"/>
      <c r="Q209" s="729"/>
      <c r="R209" s="729">
        <v>755.50804856055095</v>
      </c>
      <c r="S209" s="729">
        <v>779.41924943485833</v>
      </c>
      <c r="T209" s="729">
        <v>822.89718527695629</v>
      </c>
      <c r="U209" s="729">
        <v>882.94156449624461</v>
      </c>
      <c r="V209" s="729">
        <v>970.1461219872848</v>
      </c>
      <c r="W209" s="729">
        <v>1044.1669226387096</v>
      </c>
      <c r="X209" s="729">
        <v>1133.096451817511</v>
      </c>
      <c r="Y209" s="729">
        <v>1180.1787347371403</v>
      </c>
      <c r="Z209" s="729">
        <v>1235.2219133695598</v>
      </c>
      <c r="AA209" s="729">
        <v>1366.6726281543872</v>
      </c>
      <c r="AB209" s="729">
        <v>1522.0559715120983</v>
      </c>
      <c r="AC209" s="729">
        <v>1559.0921483413945</v>
      </c>
    </row>
    <row r="210" spans="1:45" x14ac:dyDescent="0.2">
      <c r="A210" s="704">
        <v>2071</v>
      </c>
      <c r="B210" s="704">
        <v>2071</v>
      </c>
      <c r="C210" s="704" t="s">
        <v>577</v>
      </c>
      <c r="D210" s="704" t="s">
        <v>526</v>
      </c>
      <c r="E210" s="704">
        <v>1</v>
      </c>
      <c r="F210" s="704">
        <v>100</v>
      </c>
      <c r="H210">
        <f t="shared" si="56"/>
        <v>2071</v>
      </c>
      <c r="I210" t="str">
        <f t="shared" si="57"/>
        <v>Greater Sydney</v>
      </c>
      <c r="O210" s="704" t="s">
        <v>531</v>
      </c>
      <c r="P210" s="729"/>
      <c r="Q210" s="729"/>
      <c r="R210" s="729">
        <v>833.89396454367079</v>
      </c>
      <c r="S210" s="729">
        <v>857.89833628448014</v>
      </c>
      <c r="T210" s="729">
        <v>901.5456789473626</v>
      </c>
      <c r="U210" s="729">
        <v>961.82401001784103</v>
      </c>
      <c r="V210" s="729">
        <v>1049.3683509761179</v>
      </c>
      <c r="W210" s="729">
        <v>1123.6775649389795</v>
      </c>
      <c r="X210" s="729">
        <v>1212.9536019315599</v>
      </c>
      <c r="Y210" s="729">
        <v>1260.2193292879256</v>
      </c>
      <c r="Z210" s="729">
        <v>1315.4769808744352</v>
      </c>
      <c r="AA210" s="729">
        <v>1447.4398745093847</v>
      </c>
      <c r="AB210" s="729">
        <v>1603.4286515917997</v>
      </c>
      <c r="AC210" s="729">
        <v>1640.6091401732067</v>
      </c>
    </row>
    <row r="211" spans="1:45" ht="28.5" x14ac:dyDescent="0.45">
      <c r="A211" s="704">
        <v>2072</v>
      </c>
      <c r="B211" s="704">
        <v>2072</v>
      </c>
      <c r="C211" s="704" t="s">
        <v>577</v>
      </c>
      <c r="D211" s="704" t="s">
        <v>526</v>
      </c>
      <c r="E211" s="704">
        <v>1</v>
      </c>
      <c r="F211" s="704">
        <v>100</v>
      </c>
      <c r="H211">
        <f t="shared" si="56"/>
        <v>2072</v>
      </c>
      <c r="I211" t="str">
        <f t="shared" si="57"/>
        <v>Greater Sydney</v>
      </c>
      <c r="O211" s="704" t="s">
        <v>534</v>
      </c>
      <c r="P211" s="729"/>
      <c r="Q211" s="729"/>
      <c r="R211" s="729"/>
      <c r="S211" s="729">
        <v>927.04369664094725</v>
      </c>
      <c r="T211" s="729">
        <v>970.8395124835148</v>
      </c>
      <c r="U211" s="729">
        <v>1031.3228894357765</v>
      </c>
      <c r="V211" s="729">
        <v>1119.1650236961736</v>
      </c>
      <c r="W211" s="729">
        <v>1193.7270105384093</v>
      </c>
      <c r="X211" s="729">
        <v>1283.3067310553438</v>
      </c>
      <c r="Y211" s="729">
        <v>1330.7332395270416</v>
      </c>
      <c r="Z211" s="729">
        <v>1386.1788598378544</v>
      </c>
      <c r="AA211" s="729">
        <v>1518.590643520316</v>
      </c>
      <c r="AB211" s="729">
        <v>1675.1100368524912</v>
      </c>
      <c r="AC211" s="729">
        <v>1712.4170009877607</v>
      </c>
      <c r="AE211" s="706" t="s">
        <v>496</v>
      </c>
      <c r="AF211" s="732"/>
      <c r="AG211" s="732"/>
      <c r="AH211" s="732"/>
      <c r="AI211" s="732"/>
      <c r="AJ211" s="732"/>
      <c r="AK211" s="732"/>
      <c r="AL211" s="732"/>
      <c r="AM211" s="732"/>
      <c r="AN211" s="732"/>
      <c r="AO211" s="732"/>
      <c r="AP211" s="732"/>
      <c r="AQ211" s="732"/>
      <c r="AR211" s="732"/>
      <c r="AS211" s="732"/>
    </row>
    <row r="212" spans="1:45" x14ac:dyDescent="0.2">
      <c r="A212" s="704">
        <v>2073</v>
      </c>
      <c r="B212" s="704">
        <v>2073</v>
      </c>
      <c r="C212" s="704" t="s">
        <v>577</v>
      </c>
      <c r="D212" s="704" t="s">
        <v>526</v>
      </c>
      <c r="E212" s="704">
        <v>1</v>
      </c>
      <c r="F212" s="704">
        <v>100</v>
      </c>
      <c r="H212">
        <f t="shared" si="56"/>
        <v>2073</v>
      </c>
      <c r="I212" t="str">
        <f t="shared" si="57"/>
        <v>Greater Sydney</v>
      </c>
      <c r="O212" s="704"/>
      <c r="P212" s="729"/>
      <c r="Q212" s="729"/>
      <c r="R212" s="729"/>
      <c r="S212" s="729"/>
      <c r="T212" s="729"/>
      <c r="U212" s="729"/>
      <c r="V212" s="729"/>
      <c r="W212" s="729"/>
      <c r="X212" s="729"/>
      <c r="Y212" s="729"/>
      <c r="Z212" s="729"/>
      <c r="AA212" s="729"/>
      <c r="AB212" s="729"/>
      <c r="AC212" s="729"/>
      <c r="AE212" t="s">
        <v>524</v>
      </c>
      <c r="AF212" s="732"/>
      <c r="AG212" s="732"/>
      <c r="AH212" s="732"/>
      <c r="AI212" s="732"/>
      <c r="AJ212" s="732"/>
      <c r="AK212" s="732"/>
      <c r="AL212" s="732"/>
      <c r="AM212" s="732"/>
      <c r="AN212" s="732"/>
      <c r="AO212" s="732"/>
      <c r="AP212" s="732"/>
      <c r="AQ212" s="732"/>
      <c r="AR212" s="732"/>
      <c r="AS212" s="732"/>
    </row>
    <row r="213" spans="1:45" x14ac:dyDescent="0.2">
      <c r="A213" s="704">
        <v>2074</v>
      </c>
      <c r="B213" s="704">
        <v>2074</v>
      </c>
      <c r="C213" s="704" t="s">
        <v>577</v>
      </c>
      <c r="D213" s="704" t="s">
        <v>526</v>
      </c>
      <c r="E213" s="704">
        <v>1</v>
      </c>
      <c r="F213" s="704">
        <v>100</v>
      </c>
      <c r="H213">
        <f t="shared" si="56"/>
        <v>2074</v>
      </c>
      <c r="I213" t="str">
        <f t="shared" si="57"/>
        <v>Greater Sydney</v>
      </c>
      <c r="O213" s="704" t="s">
        <v>535</v>
      </c>
      <c r="P213" s="729">
        <v>340.71139897374519</v>
      </c>
      <c r="Q213" s="729">
        <v>357.85265373618205</v>
      </c>
      <c r="R213" s="729">
        <v>374.00097903106825</v>
      </c>
      <c r="S213" s="729">
        <v>397.70476160362881</v>
      </c>
      <c r="T213" s="729">
        <v>440.80554199085782</v>
      </c>
      <c r="U213" s="729">
        <v>500.32905599758499</v>
      </c>
      <c r="V213" s="729">
        <v>586.77714594996382</v>
      </c>
      <c r="W213" s="729">
        <v>660.15584357853959</v>
      </c>
      <c r="X213" s="729">
        <v>748.31394342423778</v>
      </c>
      <c r="Y213" s="729">
        <v>794.98780172552381</v>
      </c>
      <c r="Z213" s="729">
        <v>849.55350456928954</v>
      </c>
      <c r="AA213" s="729">
        <v>979.86392926892472</v>
      </c>
      <c r="AB213" s="729">
        <v>1133.8993790842528</v>
      </c>
      <c r="AC213" s="729">
        <v>1170.6142847140807</v>
      </c>
      <c r="AE213" t="s">
        <v>528</v>
      </c>
      <c r="AF213" s="732">
        <f>MAX(P259-P258,0)</f>
        <v>0</v>
      </c>
      <c r="AG213" s="732">
        <f t="shared" ref="AG213:AS213" si="64">MAX(Q259-Q258,0)</f>
        <v>0</v>
      </c>
      <c r="AH213" s="732">
        <f t="shared" si="64"/>
        <v>0</v>
      </c>
      <c r="AI213" s="732">
        <f t="shared" si="64"/>
        <v>69.149005045795548</v>
      </c>
      <c r="AJ213" s="732">
        <f t="shared" si="64"/>
        <v>69.297476240882247</v>
      </c>
      <c r="AK213" s="732">
        <f t="shared" si="64"/>
        <v>69.502522535006619</v>
      </c>
      <c r="AL213" s="732">
        <f t="shared" si="64"/>
        <v>69.800317639469085</v>
      </c>
      <c r="AM213" s="732">
        <f t="shared" si="64"/>
        <v>70.053090026142172</v>
      </c>
      <c r="AN213" s="732">
        <f t="shared" si="64"/>
        <v>70.356773608866888</v>
      </c>
      <c r="AO213" s="732">
        <f t="shared" si="64"/>
        <v>70.517554579971147</v>
      </c>
      <c r="AP213" s="732">
        <f t="shared" si="64"/>
        <v>70.705522057204234</v>
      </c>
      <c r="AQ213" s="732">
        <f t="shared" si="64"/>
        <v>71.154415157176345</v>
      </c>
      <c r="AR213" s="732">
        <f t="shared" si="64"/>
        <v>71.685028804248304</v>
      </c>
      <c r="AS213" s="732">
        <f t="shared" si="64"/>
        <v>71.811503624680199</v>
      </c>
    </row>
    <row r="214" spans="1:45" x14ac:dyDescent="0.2">
      <c r="A214" s="704">
        <v>2075</v>
      </c>
      <c r="B214" s="704">
        <v>2075</v>
      </c>
      <c r="C214" s="704" t="s">
        <v>577</v>
      </c>
      <c r="D214" s="704" t="s">
        <v>526</v>
      </c>
      <c r="E214" s="704">
        <v>1</v>
      </c>
      <c r="F214" s="704">
        <v>100</v>
      </c>
      <c r="H214">
        <f t="shared" si="56"/>
        <v>2075</v>
      </c>
      <c r="I214" t="str">
        <f t="shared" si="57"/>
        <v>Greater Sydney</v>
      </c>
      <c r="O214" s="704" t="s">
        <v>542</v>
      </c>
      <c r="P214" s="729"/>
      <c r="Q214" s="729">
        <v>457.28110046831677</v>
      </c>
      <c r="R214" s="729">
        <v>473.32889011953279</v>
      </c>
      <c r="S214" s="729">
        <v>496.88509869434756</v>
      </c>
      <c r="T214" s="729">
        <v>539.71754373516751</v>
      </c>
      <c r="U214" s="729">
        <v>598.87047911427908</v>
      </c>
      <c r="V214" s="729">
        <v>684.78036252436311</v>
      </c>
      <c r="W214" s="729">
        <v>757.70222184871409</v>
      </c>
      <c r="X214" s="729">
        <v>845.31147072533815</v>
      </c>
      <c r="Y214" s="729">
        <v>891.69475110585552</v>
      </c>
      <c r="Z214" s="729">
        <v>945.92073634199403</v>
      </c>
      <c r="AA214" s="729">
        <v>1075.4198837428369</v>
      </c>
      <c r="AB214" s="729">
        <v>1228.4963459323239</v>
      </c>
      <c r="AC214" s="729">
        <v>1264.9826707618975</v>
      </c>
      <c r="AF214" s="732"/>
      <c r="AG214" s="732"/>
      <c r="AH214" s="732"/>
      <c r="AI214" s="732"/>
      <c r="AJ214" s="732"/>
      <c r="AK214" s="732"/>
      <c r="AL214" s="732"/>
      <c r="AM214" s="732"/>
      <c r="AN214" s="732"/>
      <c r="AO214" s="732"/>
      <c r="AP214" s="732"/>
      <c r="AQ214" s="732"/>
      <c r="AR214" s="732"/>
      <c r="AS214" s="732"/>
    </row>
    <row r="215" spans="1:45" x14ac:dyDescent="0.2">
      <c r="A215" s="704">
        <v>2076</v>
      </c>
      <c r="B215" s="704">
        <v>2076</v>
      </c>
      <c r="C215" s="704" t="s">
        <v>577</v>
      </c>
      <c r="D215" s="704" t="s">
        <v>526</v>
      </c>
      <c r="E215" s="704">
        <v>1</v>
      </c>
      <c r="F215" s="704">
        <v>100</v>
      </c>
      <c r="H215">
        <f t="shared" si="56"/>
        <v>2076</v>
      </c>
      <c r="I215" t="str">
        <f t="shared" si="57"/>
        <v>Greater Sydney</v>
      </c>
      <c r="O215" s="704" t="s">
        <v>545</v>
      </c>
      <c r="P215" s="729"/>
      <c r="Q215" s="729">
        <v>575.04926995352946</v>
      </c>
      <c r="R215" s="729">
        <v>591.10832336976739</v>
      </c>
      <c r="S215" s="729">
        <v>614.68107155988434</v>
      </c>
      <c r="T215" s="729">
        <v>657.54358469650776</v>
      </c>
      <c r="U215" s="729">
        <v>716.7380444873952</v>
      </c>
      <c r="V215" s="729">
        <v>802.70823746091344</v>
      </c>
      <c r="W215" s="729">
        <v>875.68128732892126</v>
      </c>
      <c r="X215" s="729">
        <v>963.35204249329502</v>
      </c>
      <c r="Y215" s="729">
        <v>1009.7678786126507</v>
      </c>
      <c r="Z215" s="729">
        <v>1064.03193807508</v>
      </c>
      <c r="AA215" s="729">
        <v>1193.6219873321115</v>
      </c>
      <c r="AB215" s="729">
        <v>1346.8059119128927</v>
      </c>
      <c r="AC215" s="729">
        <v>1383.3178523707213</v>
      </c>
      <c r="AE215" t="s">
        <v>535</v>
      </c>
      <c r="AF215" s="732"/>
      <c r="AG215" s="732"/>
      <c r="AH215" s="732"/>
      <c r="AI215" s="732"/>
      <c r="AJ215" s="732"/>
      <c r="AK215" s="732"/>
      <c r="AL215" s="732"/>
      <c r="AM215" s="732"/>
      <c r="AN215" s="732"/>
      <c r="AO215" s="732"/>
      <c r="AP215" s="732"/>
      <c r="AQ215" s="732"/>
      <c r="AR215" s="732"/>
      <c r="AS215" s="732"/>
    </row>
    <row r="216" spans="1:45" x14ac:dyDescent="0.2">
      <c r="A216" s="704">
        <v>2077</v>
      </c>
      <c r="B216" s="704">
        <v>2077</v>
      </c>
      <c r="C216" s="704" t="s">
        <v>577</v>
      </c>
      <c r="D216" s="704" t="s">
        <v>526</v>
      </c>
      <c r="E216" s="704">
        <v>1</v>
      </c>
      <c r="F216" s="704">
        <v>100</v>
      </c>
      <c r="H216">
        <f t="shared" si="56"/>
        <v>2077</v>
      </c>
      <c r="I216" t="str">
        <f t="shared" si="57"/>
        <v>Greater Sydney</v>
      </c>
      <c r="O216" s="704" t="s">
        <v>548</v>
      </c>
      <c r="P216" s="729"/>
      <c r="Q216" s="729"/>
      <c r="R216" s="729">
        <v>708.88775662000194</v>
      </c>
      <c r="S216" s="729">
        <v>732.47704442542113</v>
      </c>
      <c r="T216" s="729">
        <v>775.36962565784802</v>
      </c>
      <c r="U216" s="729">
        <v>834.60560986051132</v>
      </c>
      <c r="V216" s="729">
        <v>920.63611239746376</v>
      </c>
      <c r="W216" s="729">
        <v>993.66035280912843</v>
      </c>
      <c r="X216" s="729">
        <v>1081.3926142612518</v>
      </c>
      <c r="Y216" s="729">
        <v>1127.8410061194459</v>
      </c>
      <c r="Z216" s="729">
        <v>1182.1431398081659</v>
      </c>
      <c r="AA216" s="729">
        <v>1311.8240909213862</v>
      </c>
      <c r="AB216" s="729">
        <v>1465.1154778934615</v>
      </c>
      <c r="AC216" s="729">
        <v>1501.6530339795452</v>
      </c>
      <c r="AE216" t="s">
        <v>528</v>
      </c>
      <c r="AF216" s="732">
        <f>MAX(P264-P263,0)</f>
        <v>0</v>
      </c>
      <c r="AG216" s="732">
        <f t="shared" ref="AG216:AS216" si="65">MAX(Q264-Q263,0)</f>
        <v>0</v>
      </c>
      <c r="AH216" s="732">
        <f t="shared" si="65"/>
        <v>117.78016958421938</v>
      </c>
      <c r="AI216" s="732">
        <f t="shared" si="65"/>
        <v>117.79670985749794</v>
      </c>
      <c r="AJ216" s="732">
        <f t="shared" si="65"/>
        <v>117.82677913166981</v>
      </c>
      <c r="AK216" s="732">
        <f t="shared" si="65"/>
        <v>117.8683029800967</v>
      </c>
      <c r="AL216" s="732">
        <f t="shared" si="65"/>
        <v>117.92861230158462</v>
      </c>
      <c r="AM216" s="732">
        <f t="shared" si="65"/>
        <v>117.97980369252309</v>
      </c>
      <c r="AN216" s="732">
        <f t="shared" si="65"/>
        <v>118.04130752775347</v>
      </c>
      <c r="AO216" s="732">
        <f t="shared" si="65"/>
        <v>118.07386623585626</v>
      </c>
      <c r="AP216" s="732">
        <f t="shared" si="65"/>
        <v>118.11193785165437</v>
      </c>
      <c r="AQ216" s="732">
        <f t="shared" si="65"/>
        <v>118.20284008414455</v>
      </c>
      <c r="AR216" s="732">
        <f t="shared" si="65"/>
        <v>118.31030230749411</v>
      </c>
      <c r="AS216" s="732">
        <f t="shared" si="65"/>
        <v>118.33592055085933</v>
      </c>
    </row>
    <row r="217" spans="1:45" x14ac:dyDescent="0.2">
      <c r="A217" s="704">
        <v>2079</v>
      </c>
      <c r="B217" s="704">
        <v>2079</v>
      </c>
      <c r="C217" s="704" t="s">
        <v>577</v>
      </c>
      <c r="D217" s="704" t="s">
        <v>526</v>
      </c>
      <c r="E217" s="704">
        <v>1</v>
      </c>
      <c r="F217" s="704">
        <v>100</v>
      </c>
      <c r="H217">
        <f t="shared" si="56"/>
        <v>2079</v>
      </c>
      <c r="I217" t="str">
        <f t="shared" si="57"/>
        <v>Greater Sydney</v>
      </c>
      <c r="O217" s="704"/>
      <c r="P217" s="729"/>
      <c r="Q217" s="729"/>
      <c r="R217" s="729"/>
      <c r="S217" s="729"/>
      <c r="T217" s="729"/>
      <c r="U217" s="729"/>
      <c r="V217" s="729"/>
      <c r="W217" s="729"/>
      <c r="X217" s="729"/>
      <c r="Y217" s="729"/>
      <c r="Z217" s="729"/>
      <c r="AA217" s="729"/>
      <c r="AB217" s="729"/>
      <c r="AC217" s="729"/>
      <c r="AF217" s="732"/>
      <c r="AG217" s="732"/>
      <c r="AH217" s="732"/>
      <c r="AI217" s="732"/>
      <c r="AJ217" s="732"/>
      <c r="AK217" s="732"/>
      <c r="AL217" s="732"/>
      <c r="AM217" s="732"/>
      <c r="AN217" s="732"/>
      <c r="AO217" s="732"/>
      <c r="AP217" s="732"/>
      <c r="AQ217" s="732"/>
      <c r="AR217" s="732"/>
      <c r="AS217" s="732"/>
    </row>
    <row r="218" spans="1:45" x14ac:dyDescent="0.2">
      <c r="A218" s="704">
        <v>2080</v>
      </c>
      <c r="B218" s="704">
        <v>2080</v>
      </c>
      <c r="C218" s="704" t="s">
        <v>577</v>
      </c>
      <c r="D218" s="704" t="s">
        <v>526</v>
      </c>
      <c r="E218" s="704">
        <v>1</v>
      </c>
      <c r="F218" s="704">
        <v>100</v>
      </c>
      <c r="H218">
        <f t="shared" si="56"/>
        <v>2080</v>
      </c>
      <c r="I218" t="str">
        <f t="shared" si="57"/>
        <v>Greater Sydney</v>
      </c>
      <c r="O218" s="704"/>
      <c r="P218" s="729"/>
      <c r="Q218" s="729"/>
      <c r="R218" s="729"/>
      <c r="S218" s="729"/>
      <c r="T218" s="729"/>
      <c r="U218" s="729"/>
      <c r="V218" s="729"/>
      <c r="W218" s="729"/>
      <c r="X218" s="729"/>
      <c r="Y218" s="729"/>
      <c r="Z218" s="729"/>
      <c r="AA218" s="729"/>
      <c r="AB218" s="729"/>
      <c r="AC218" s="729"/>
      <c r="AF218" s="732"/>
      <c r="AG218" s="732"/>
      <c r="AH218" s="732"/>
      <c r="AI218" s="732"/>
      <c r="AJ218" s="732"/>
      <c r="AK218" s="732"/>
      <c r="AL218" s="732"/>
      <c r="AM218" s="732"/>
      <c r="AN218" s="732"/>
      <c r="AO218" s="732"/>
      <c r="AP218" s="732"/>
      <c r="AQ218" s="732"/>
      <c r="AR218" s="732"/>
      <c r="AS218" s="732"/>
    </row>
    <row r="219" spans="1:45" ht="28.5" x14ac:dyDescent="0.45">
      <c r="A219" s="704">
        <v>2081</v>
      </c>
      <c r="B219" s="704">
        <v>2081</v>
      </c>
      <c r="C219" s="704" t="s">
        <v>577</v>
      </c>
      <c r="D219" s="704" t="s">
        <v>526</v>
      </c>
      <c r="E219" s="704">
        <v>1</v>
      </c>
      <c r="F219" s="704">
        <v>100</v>
      </c>
      <c r="H219">
        <f t="shared" si="56"/>
        <v>2081</v>
      </c>
      <c r="I219" t="str">
        <f t="shared" si="57"/>
        <v>Greater Sydney</v>
      </c>
      <c r="O219" s="705" t="s">
        <v>493</v>
      </c>
      <c r="P219" s="729"/>
      <c r="Q219" s="729"/>
      <c r="R219" s="729"/>
      <c r="S219" s="729"/>
      <c r="T219" s="729"/>
      <c r="U219" s="729"/>
      <c r="V219" s="729"/>
      <c r="W219" s="729"/>
      <c r="X219" s="729"/>
      <c r="Y219" s="729"/>
      <c r="Z219" s="729"/>
      <c r="AA219" s="729"/>
      <c r="AB219" s="729"/>
      <c r="AC219" s="729"/>
      <c r="AE219" s="706" t="s">
        <v>497</v>
      </c>
      <c r="AF219" s="732"/>
      <c r="AG219" s="732"/>
      <c r="AH219" s="732"/>
      <c r="AI219" s="732"/>
      <c r="AJ219" s="732"/>
      <c r="AK219" s="732"/>
      <c r="AL219" s="732"/>
      <c r="AM219" s="732"/>
      <c r="AN219" s="732"/>
      <c r="AO219" s="732"/>
      <c r="AP219" s="732"/>
      <c r="AQ219" s="732"/>
      <c r="AR219" s="732"/>
      <c r="AS219" s="732"/>
    </row>
    <row r="220" spans="1:45" x14ac:dyDescent="0.2">
      <c r="A220" s="704">
        <v>2082</v>
      </c>
      <c r="B220" s="704">
        <v>2082</v>
      </c>
      <c r="C220" s="704" t="s">
        <v>577</v>
      </c>
      <c r="D220" s="704" t="s">
        <v>526</v>
      </c>
      <c r="E220" s="704">
        <v>0.998915</v>
      </c>
      <c r="F220" s="704">
        <v>99.891499999999994</v>
      </c>
      <c r="H220">
        <f t="shared" si="56"/>
        <v>2082</v>
      </c>
      <c r="I220" t="str">
        <f t="shared" si="57"/>
        <v>Greater Sydney</v>
      </c>
      <c r="O220" s="704" t="s">
        <v>524</v>
      </c>
      <c r="P220" s="729"/>
      <c r="Q220" s="729">
        <v>593.99119662754629</v>
      </c>
      <c r="R220" s="729">
        <v>610.29630065541073</v>
      </c>
      <c r="S220" s="729">
        <v>634.23021581159526</v>
      </c>
      <c r="T220" s="729">
        <v>677.74944841809292</v>
      </c>
      <c r="U220" s="729">
        <v>737.85085854743113</v>
      </c>
      <c r="V220" s="729">
        <v>825.13824703667888</v>
      </c>
      <c r="W220" s="729">
        <v>899.22935631054156</v>
      </c>
      <c r="X220" s="729">
        <v>988.24335629458847</v>
      </c>
      <c r="Y220" s="729">
        <v>1035.3703568059066</v>
      </c>
      <c r="Z220" s="729">
        <v>1090.4658215101249</v>
      </c>
      <c r="AA220" s="729">
        <v>1222.0413903365545</v>
      </c>
      <c r="AB220" s="729">
        <v>1377.5723236134304</v>
      </c>
      <c r="AC220" s="729">
        <v>1414.643682841358</v>
      </c>
      <c r="AE220" t="s">
        <v>524</v>
      </c>
      <c r="AF220" s="732"/>
      <c r="AG220" s="732"/>
      <c r="AH220" s="732"/>
      <c r="AI220" s="732"/>
      <c r="AJ220" s="732"/>
      <c r="AK220" s="732"/>
      <c r="AL220" s="732"/>
      <c r="AM220" s="732"/>
      <c r="AN220" s="732"/>
      <c r="AO220" s="732"/>
      <c r="AP220" s="732"/>
      <c r="AQ220" s="732"/>
      <c r="AR220" s="732"/>
      <c r="AS220" s="732"/>
    </row>
    <row r="221" spans="1:45" x14ac:dyDescent="0.2">
      <c r="A221" s="704">
        <v>2083</v>
      </c>
      <c r="B221" s="704">
        <v>2083</v>
      </c>
      <c r="C221" s="704" t="s">
        <v>577</v>
      </c>
      <c r="D221" s="704" t="s">
        <v>526</v>
      </c>
      <c r="E221" s="704">
        <v>0.96147700000000003</v>
      </c>
      <c r="F221" s="704">
        <v>96.1477</v>
      </c>
      <c r="H221">
        <f t="shared" si="56"/>
        <v>2083</v>
      </c>
      <c r="I221" t="str">
        <f t="shared" si="57"/>
        <v>Greater Sydney</v>
      </c>
      <c r="O221" s="704" t="s">
        <v>527</v>
      </c>
      <c r="P221" s="729"/>
      <c r="Q221" s="729"/>
      <c r="R221" s="729">
        <v>704.99313993593375</v>
      </c>
      <c r="S221" s="729">
        <v>728.90434324554678</v>
      </c>
      <c r="T221" s="729">
        <v>772.38228071849517</v>
      </c>
      <c r="U221" s="729">
        <v>832.42665546208661</v>
      </c>
      <c r="V221" s="729">
        <v>919.63121347967933</v>
      </c>
      <c r="W221" s="729">
        <v>993.65201337052838</v>
      </c>
      <c r="X221" s="729">
        <v>1082.5815451235867</v>
      </c>
      <c r="Y221" s="729">
        <v>1129.6638232457371</v>
      </c>
      <c r="Z221" s="729">
        <v>1184.7070073777058</v>
      </c>
      <c r="AA221" s="729">
        <v>1316.15771692626</v>
      </c>
      <c r="AB221" s="729">
        <v>1471.5410598159247</v>
      </c>
      <c r="AC221" s="729">
        <v>1508.5772419107464</v>
      </c>
      <c r="AE221" t="s">
        <v>528</v>
      </c>
      <c r="AF221" s="732">
        <f>MAX(P271-P270,0)</f>
        <v>0</v>
      </c>
      <c r="AG221" s="732">
        <f t="shared" ref="AG221:AS221" si="66">MAX(Q271-Q270,0)</f>
        <v>0</v>
      </c>
      <c r="AH221" s="732">
        <f t="shared" si="66"/>
        <v>0</v>
      </c>
      <c r="AI221" s="732">
        <f t="shared" si="66"/>
        <v>69.126421064231408</v>
      </c>
      <c r="AJ221" s="732">
        <f t="shared" si="66"/>
        <v>69.274894785094489</v>
      </c>
      <c r="AK221" s="732">
        <f t="shared" si="66"/>
        <v>69.479939945090678</v>
      </c>
      <c r="AL221" s="732">
        <f t="shared" si="66"/>
        <v>69.777734971592054</v>
      </c>
      <c r="AM221" s="732">
        <f t="shared" si="66"/>
        <v>70.030509159557369</v>
      </c>
      <c r="AN221" s="732">
        <f t="shared" si="66"/>
        <v>70.33419413697743</v>
      </c>
      <c r="AO221" s="732">
        <f t="shared" si="66"/>
        <v>70.494974001738456</v>
      </c>
      <c r="AP221" s="732">
        <f t="shared" si="66"/>
        <v>70.682939775231034</v>
      </c>
      <c r="AQ221" s="732">
        <f t="shared" si="66"/>
        <v>71.131830977162281</v>
      </c>
      <c r="AR221" s="732">
        <f t="shared" si="66"/>
        <v>71.662450520461789</v>
      </c>
      <c r="AS221" s="732">
        <f t="shared" si="66"/>
        <v>71.788924351991909</v>
      </c>
    </row>
    <row r="222" spans="1:45" x14ac:dyDescent="0.2">
      <c r="A222" s="704">
        <v>2084</v>
      </c>
      <c r="B222" s="704">
        <v>2084</v>
      </c>
      <c r="C222" s="704" t="s">
        <v>577</v>
      </c>
      <c r="D222" s="704" t="s">
        <v>526</v>
      </c>
      <c r="E222" s="704">
        <v>0.999977</v>
      </c>
      <c r="F222" s="704">
        <v>99.997699999999995</v>
      </c>
      <c r="H222">
        <f t="shared" si="56"/>
        <v>2084</v>
      </c>
      <c r="I222" t="str">
        <f t="shared" si="57"/>
        <v>Greater Sydney</v>
      </c>
      <c r="O222" s="704" t="s">
        <v>531</v>
      </c>
      <c r="P222" s="729"/>
      <c r="Q222" s="729"/>
      <c r="R222" s="729">
        <v>783.18223350461665</v>
      </c>
      <c r="S222" s="729">
        <v>807.18660253636369</v>
      </c>
      <c r="T222" s="729">
        <v>850.83394506086574</v>
      </c>
      <c r="U222" s="729">
        <v>911.11227971858978</v>
      </c>
      <c r="V222" s="729">
        <v>998.65661963369155</v>
      </c>
      <c r="W222" s="729">
        <v>1072.9658334794619</v>
      </c>
      <c r="X222" s="729">
        <v>1162.2418672786484</v>
      </c>
      <c r="Y222" s="729">
        <v>1209.5075973174651</v>
      </c>
      <c r="Z222" s="729">
        <v>1264.7652483717422</v>
      </c>
      <c r="AA222" s="729">
        <v>1396.7281429008419</v>
      </c>
      <c r="AB222" s="729">
        <v>1552.7169181949566</v>
      </c>
      <c r="AC222" s="729">
        <v>1589.8974075427782</v>
      </c>
      <c r="AF222" s="732"/>
      <c r="AG222" s="732"/>
      <c r="AH222" s="732"/>
      <c r="AI222" s="732"/>
      <c r="AJ222" s="732"/>
      <c r="AK222" s="732"/>
      <c r="AL222" s="732"/>
      <c r="AM222" s="732"/>
      <c r="AN222" s="732"/>
      <c r="AO222" s="732"/>
      <c r="AP222" s="732"/>
      <c r="AQ222" s="732"/>
      <c r="AR222" s="732"/>
      <c r="AS222" s="732"/>
    </row>
    <row r="223" spans="1:45" x14ac:dyDescent="0.2">
      <c r="A223" s="704">
        <v>2085</v>
      </c>
      <c r="B223" s="704">
        <v>2085</v>
      </c>
      <c r="C223" s="704" t="s">
        <v>577</v>
      </c>
      <c r="D223" s="704" t="s">
        <v>526</v>
      </c>
      <c r="E223" s="704">
        <v>1</v>
      </c>
      <c r="F223" s="704">
        <v>100</v>
      </c>
      <c r="H223">
        <f t="shared" si="56"/>
        <v>2085</v>
      </c>
      <c r="I223" t="str">
        <f t="shared" si="57"/>
        <v>Greater Sydney</v>
      </c>
      <c r="O223" s="704" t="s">
        <v>534</v>
      </c>
      <c r="P223" s="729"/>
      <c r="Q223" s="729"/>
      <c r="R223" s="729"/>
      <c r="S223" s="729">
        <v>876.15946126627546</v>
      </c>
      <c r="T223" s="729">
        <v>919.95527658350795</v>
      </c>
      <c r="U223" s="729">
        <v>980.43865636674036</v>
      </c>
      <c r="V223" s="729">
        <v>1068.2807877377963</v>
      </c>
      <c r="W223" s="729">
        <v>1142.8427759809247</v>
      </c>
      <c r="X223" s="729">
        <v>1232.4224959141538</v>
      </c>
      <c r="Y223" s="729">
        <v>1279.849006487191</v>
      </c>
      <c r="Z223" s="729">
        <v>1335.2946256305934</v>
      </c>
      <c r="AA223" s="729">
        <v>1467.7064064528986</v>
      </c>
      <c r="AB223" s="729">
        <v>1624.2258000185561</v>
      </c>
      <c r="AC223" s="729">
        <v>1661.5327614687806</v>
      </c>
      <c r="AE223" t="s">
        <v>535</v>
      </c>
      <c r="AF223" s="732"/>
      <c r="AG223" s="732"/>
      <c r="AH223" s="732"/>
      <c r="AI223" s="732"/>
      <c r="AJ223" s="732"/>
      <c r="AK223" s="732"/>
      <c r="AL223" s="732"/>
      <c r="AM223" s="732"/>
      <c r="AN223" s="732"/>
      <c r="AO223" s="732"/>
      <c r="AP223" s="732"/>
      <c r="AQ223" s="732"/>
      <c r="AR223" s="732"/>
      <c r="AS223" s="732"/>
    </row>
    <row r="224" spans="1:45" x14ac:dyDescent="0.2">
      <c r="A224" s="704">
        <v>2086</v>
      </c>
      <c r="B224" s="704">
        <v>2086</v>
      </c>
      <c r="C224" s="704" t="s">
        <v>577</v>
      </c>
      <c r="D224" s="704" t="s">
        <v>526</v>
      </c>
      <c r="E224" s="704">
        <v>1</v>
      </c>
      <c r="F224" s="704">
        <v>100</v>
      </c>
      <c r="H224">
        <f t="shared" si="56"/>
        <v>2086</v>
      </c>
      <c r="I224" t="str">
        <f t="shared" si="57"/>
        <v>Greater Sydney</v>
      </c>
      <c r="O224" s="704"/>
      <c r="P224" s="729"/>
      <c r="Q224" s="729"/>
      <c r="R224" s="729"/>
      <c r="S224" s="729"/>
      <c r="T224" s="729"/>
      <c r="U224" s="729"/>
      <c r="V224" s="729"/>
      <c r="W224" s="729"/>
      <c r="X224" s="729"/>
      <c r="Y224" s="729"/>
      <c r="Z224" s="729"/>
      <c r="AA224" s="729"/>
      <c r="AB224" s="729"/>
      <c r="AC224" s="729"/>
      <c r="AE224" t="s">
        <v>528</v>
      </c>
      <c r="AF224" s="732">
        <f>MAX(P276-P275,0)</f>
        <v>0</v>
      </c>
      <c r="AG224" s="732">
        <f t="shared" ref="AG224:AS224" si="67">MAX(Q276-Q275,0)</f>
        <v>0</v>
      </c>
      <c r="AH224" s="732">
        <f t="shared" si="67"/>
        <v>117.77559641682183</v>
      </c>
      <c r="AI224" s="732">
        <f t="shared" si="67"/>
        <v>117.79213645059588</v>
      </c>
      <c r="AJ224" s="732">
        <f t="shared" si="67"/>
        <v>117.82220650505531</v>
      </c>
      <c r="AK224" s="732">
        <f t="shared" si="67"/>
        <v>117.86372969093975</v>
      </c>
      <c r="AL224" s="732">
        <f t="shared" si="67"/>
        <v>117.92403831057538</v>
      </c>
      <c r="AM224" s="732">
        <f t="shared" si="67"/>
        <v>117.97523111702753</v>
      </c>
      <c r="AN224" s="732">
        <f t="shared" si="67"/>
        <v>118.03673315545768</v>
      </c>
      <c r="AO224" s="732">
        <f t="shared" si="67"/>
        <v>118.06929122316524</v>
      </c>
      <c r="AP224" s="732">
        <f t="shared" si="67"/>
        <v>118.10736441670042</v>
      </c>
      <c r="AQ224" s="732">
        <f t="shared" si="67"/>
        <v>118.19826583623376</v>
      </c>
      <c r="AR224" s="732">
        <f t="shared" si="67"/>
        <v>118.3057262399002</v>
      </c>
      <c r="AS224" s="732">
        <f t="shared" si="67"/>
        <v>118.33134290017506</v>
      </c>
    </row>
    <row r="225" spans="1:45" x14ac:dyDescent="0.2">
      <c r="A225" s="704">
        <v>2087</v>
      </c>
      <c r="B225" s="704">
        <v>2087</v>
      </c>
      <c r="C225" s="704" t="s">
        <v>577</v>
      </c>
      <c r="D225" s="704" t="s">
        <v>526</v>
      </c>
      <c r="E225" s="704">
        <v>1</v>
      </c>
      <c r="F225" s="704">
        <v>100</v>
      </c>
      <c r="H225">
        <f t="shared" si="56"/>
        <v>2087</v>
      </c>
      <c r="I225" t="str">
        <f t="shared" si="57"/>
        <v>Greater Sydney</v>
      </c>
      <c r="O225" s="704" t="s">
        <v>535</v>
      </c>
      <c r="P225" s="729">
        <v>290.63468984735226</v>
      </c>
      <c r="Q225" s="729">
        <v>307.775945223843</v>
      </c>
      <c r="R225" s="729">
        <v>323.92426972643767</v>
      </c>
      <c r="S225" s="729">
        <v>347.62805224419395</v>
      </c>
      <c r="T225" s="729">
        <v>390.72883289315001</v>
      </c>
      <c r="U225" s="729">
        <v>450.25234673900673</v>
      </c>
      <c r="V225" s="729">
        <v>536.70043704146599</v>
      </c>
      <c r="W225" s="729">
        <v>610.07913431329303</v>
      </c>
      <c r="X225" s="729">
        <v>698.23723443905556</v>
      </c>
      <c r="Y225" s="729">
        <v>744.91109306708336</v>
      </c>
      <c r="Z225" s="729">
        <v>799.47679469056868</v>
      </c>
      <c r="AA225" s="729">
        <v>929.78721875005692</v>
      </c>
      <c r="AB225" s="729">
        <v>1083.8226685587165</v>
      </c>
      <c r="AC225" s="729">
        <v>1120.5375759156082</v>
      </c>
      <c r="AF225" s="732"/>
      <c r="AG225" s="732"/>
      <c r="AH225" s="732"/>
      <c r="AI225" s="732"/>
      <c r="AJ225" s="732"/>
      <c r="AK225" s="732"/>
      <c r="AL225" s="732"/>
      <c r="AM225" s="732"/>
      <c r="AN225" s="732"/>
      <c r="AO225" s="732"/>
      <c r="AP225" s="732"/>
      <c r="AQ225" s="732"/>
      <c r="AR225" s="732"/>
      <c r="AS225" s="732"/>
    </row>
    <row r="226" spans="1:45" x14ac:dyDescent="0.2">
      <c r="A226" s="704">
        <v>2088</v>
      </c>
      <c r="B226" s="704">
        <v>2088</v>
      </c>
      <c r="C226" s="704" t="s">
        <v>577</v>
      </c>
      <c r="D226" s="704" t="s">
        <v>526</v>
      </c>
      <c r="E226" s="704">
        <v>0.99505100000000002</v>
      </c>
      <c r="F226" s="704">
        <v>99.505099999999999</v>
      </c>
      <c r="H226">
        <f t="shared" si="56"/>
        <v>2088</v>
      </c>
      <c r="I226" t="str">
        <f t="shared" si="57"/>
        <v>Greater Sydney</v>
      </c>
      <c r="O226" s="704" t="s">
        <v>542</v>
      </c>
      <c r="P226" s="729"/>
      <c r="Q226" s="729">
        <v>407.51615716115271</v>
      </c>
      <c r="R226" s="729">
        <v>423.56394596721208</v>
      </c>
      <c r="S226" s="729">
        <v>447.12015358876869</v>
      </c>
      <c r="T226" s="729">
        <v>489.95259980887704</v>
      </c>
      <c r="U226" s="729">
        <v>549.10553438214163</v>
      </c>
      <c r="V226" s="729">
        <v>635.01541869634673</v>
      </c>
      <c r="W226" s="729">
        <v>707.93727876758021</v>
      </c>
      <c r="X226" s="729">
        <v>795.54652693663127</v>
      </c>
      <c r="Y226" s="729">
        <v>841.92980535166816</v>
      </c>
      <c r="Z226" s="729">
        <v>896.15579436152927</v>
      </c>
      <c r="AA226" s="729">
        <v>1025.6549364162652</v>
      </c>
      <c r="AB226" s="729">
        <v>1178.7313974264641</v>
      </c>
      <c r="AC226" s="729">
        <v>1215.2177274449064</v>
      </c>
      <c r="AF226" s="732"/>
      <c r="AG226" s="732"/>
      <c r="AH226" s="732"/>
      <c r="AI226" s="732"/>
      <c r="AJ226" s="732"/>
      <c r="AK226" s="732"/>
      <c r="AL226" s="732"/>
      <c r="AM226" s="732"/>
      <c r="AN226" s="732"/>
      <c r="AO226" s="732"/>
      <c r="AP226" s="732"/>
      <c r="AQ226" s="732"/>
      <c r="AR226" s="732"/>
      <c r="AS226" s="732"/>
    </row>
    <row r="227" spans="1:45" ht="28.5" x14ac:dyDescent="0.45">
      <c r="A227" s="704">
        <v>2089</v>
      </c>
      <c r="B227" s="704">
        <v>2089</v>
      </c>
      <c r="C227" s="704" t="s">
        <v>577</v>
      </c>
      <c r="D227" s="704" t="s">
        <v>526</v>
      </c>
      <c r="E227" s="704">
        <v>0.99048700000000001</v>
      </c>
      <c r="F227" s="704">
        <v>99.048699999999997</v>
      </c>
      <c r="H227">
        <f t="shared" si="56"/>
        <v>2089</v>
      </c>
      <c r="I227" t="str">
        <f t="shared" si="57"/>
        <v>Greater Sydney</v>
      </c>
      <c r="O227" s="704" t="s">
        <v>545</v>
      </c>
      <c r="P227" s="729"/>
      <c r="Q227" s="729">
        <v>525.24939195391721</v>
      </c>
      <c r="R227" s="729">
        <v>541.30844529859496</v>
      </c>
      <c r="S227" s="729">
        <v>564.88119050703551</v>
      </c>
      <c r="T227" s="729">
        <v>607.74370328585758</v>
      </c>
      <c r="U227" s="729">
        <v>666.93816622539555</v>
      </c>
      <c r="V227" s="729">
        <v>752.90835967598196</v>
      </c>
      <c r="W227" s="729">
        <v>825.8814111183151</v>
      </c>
      <c r="X227" s="729">
        <v>913.55216189366104</v>
      </c>
      <c r="Y227" s="729">
        <v>959.96800230663052</v>
      </c>
      <c r="Z227" s="729">
        <v>1014.2320565213097</v>
      </c>
      <c r="AA227" s="729">
        <v>1143.822114079328</v>
      </c>
      <c r="AB227" s="729">
        <v>1297.0060344619087</v>
      </c>
      <c r="AC227" s="729">
        <v>1333.5179711031913</v>
      </c>
      <c r="AE227" s="706" t="s">
        <v>498</v>
      </c>
      <c r="AF227" s="732"/>
      <c r="AG227" s="732"/>
      <c r="AH227" s="732"/>
      <c r="AI227" s="732"/>
      <c r="AJ227" s="732"/>
      <c r="AK227" s="732"/>
      <c r="AL227" s="732"/>
      <c r="AM227" s="732"/>
      <c r="AN227" s="732"/>
      <c r="AO227" s="732"/>
      <c r="AP227" s="732"/>
      <c r="AQ227" s="732"/>
      <c r="AR227" s="732"/>
      <c r="AS227" s="732"/>
    </row>
    <row r="228" spans="1:45" x14ac:dyDescent="0.2">
      <c r="A228" s="704">
        <v>2090</v>
      </c>
      <c r="B228" s="704">
        <v>2090</v>
      </c>
      <c r="C228" s="704" t="s">
        <v>577</v>
      </c>
      <c r="D228" s="704" t="s">
        <v>526</v>
      </c>
      <c r="E228" s="704">
        <v>0.99713499999999999</v>
      </c>
      <c r="F228" s="704">
        <v>99.713499999999996</v>
      </c>
      <c r="H228">
        <f t="shared" si="56"/>
        <v>2090</v>
      </c>
      <c r="I228" t="str">
        <f t="shared" si="57"/>
        <v>Greater Sydney</v>
      </c>
      <c r="O228" s="704" t="s">
        <v>548</v>
      </c>
      <c r="P228" s="729"/>
      <c r="Q228" s="729"/>
      <c r="R228" s="729">
        <v>659.0529446299779</v>
      </c>
      <c r="S228" s="729">
        <v>682.64222742530228</v>
      </c>
      <c r="T228" s="729">
        <v>725.53480676283812</v>
      </c>
      <c r="U228" s="729">
        <v>784.77079806864947</v>
      </c>
      <c r="V228" s="729">
        <v>870.80130065561718</v>
      </c>
      <c r="W228" s="729">
        <v>943.82554346904999</v>
      </c>
      <c r="X228" s="729">
        <v>1031.5577968506909</v>
      </c>
      <c r="Y228" s="729">
        <v>1078.0061992615929</v>
      </c>
      <c r="Z228" s="729">
        <v>1132.30831868109</v>
      </c>
      <c r="AA228" s="729">
        <v>1261.9892917423908</v>
      </c>
      <c r="AB228" s="729">
        <v>1415.2806714973533</v>
      </c>
      <c r="AC228" s="729">
        <v>1451.8182147614762</v>
      </c>
      <c r="AE228" t="s">
        <v>524</v>
      </c>
      <c r="AF228" s="732"/>
      <c r="AG228" s="732"/>
      <c r="AH228" s="732"/>
      <c r="AI228" s="732"/>
      <c r="AJ228" s="732"/>
      <c r="AK228" s="732"/>
      <c r="AL228" s="732"/>
      <c r="AM228" s="732"/>
      <c r="AN228" s="732"/>
      <c r="AO228" s="732"/>
      <c r="AP228" s="732"/>
      <c r="AQ228" s="732"/>
      <c r="AR228" s="732"/>
      <c r="AS228" s="732"/>
    </row>
    <row r="229" spans="1:45" x14ac:dyDescent="0.2">
      <c r="A229" s="704">
        <v>2092</v>
      </c>
      <c r="B229" s="704">
        <v>2092</v>
      </c>
      <c r="C229" s="704" t="s">
        <v>577</v>
      </c>
      <c r="D229" s="704" t="s">
        <v>526</v>
      </c>
      <c r="E229" s="704">
        <v>0.98342499999999999</v>
      </c>
      <c r="F229" s="704">
        <v>98.342500000000001</v>
      </c>
      <c r="H229">
        <f t="shared" si="56"/>
        <v>2092</v>
      </c>
      <c r="I229" t="str">
        <f t="shared" si="57"/>
        <v>Greater Sydney</v>
      </c>
      <c r="O229" s="704"/>
      <c r="P229" s="729"/>
      <c r="Q229" s="729"/>
      <c r="R229" s="729"/>
      <c r="S229" s="729"/>
      <c r="T229" s="729"/>
      <c r="U229" s="729"/>
      <c r="V229" s="729"/>
      <c r="W229" s="729"/>
      <c r="X229" s="729"/>
      <c r="Y229" s="729"/>
      <c r="Z229" s="729"/>
      <c r="AA229" s="729"/>
      <c r="AB229" s="729"/>
      <c r="AC229" s="729"/>
      <c r="AE229" t="s">
        <v>528</v>
      </c>
      <c r="AF229" s="732">
        <f>MAX(P283-P282,0)</f>
        <v>0</v>
      </c>
      <c r="AG229" s="732">
        <f t="shared" ref="AG229:AS229" si="68">MAX(Q283-Q282,0)</f>
        <v>0</v>
      </c>
      <c r="AH229" s="732">
        <f t="shared" si="68"/>
        <v>0</v>
      </c>
      <c r="AI229" s="732">
        <f t="shared" si="68"/>
        <v>69.176117963303909</v>
      </c>
      <c r="AJ229" s="732">
        <f t="shared" si="68"/>
        <v>69.32459149940928</v>
      </c>
      <c r="AK229" s="732">
        <f t="shared" si="68"/>
        <v>69.52963569424287</v>
      </c>
      <c r="AL229" s="732">
        <f t="shared" si="68"/>
        <v>69.827428611055666</v>
      </c>
      <c r="AM229" s="732">
        <f t="shared" si="68"/>
        <v>70.080201841106373</v>
      </c>
      <c r="AN229" s="732">
        <f t="shared" si="68"/>
        <v>70.383887293088492</v>
      </c>
      <c r="AO229" s="732">
        <f t="shared" si="68"/>
        <v>70.544669506362652</v>
      </c>
      <c r="AP229" s="732">
        <f t="shared" si="68"/>
        <v>70.732634782006926</v>
      </c>
      <c r="AQ229" s="732">
        <f t="shared" si="68"/>
        <v>71.181524488293917</v>
      </c>
      <c r="AR229" s="732">
        <f t="shared" si="68"/>
        <v>71.712140672085525</v>
      </c>
      <c r="AS229" s="732">
        <f t="shared" si="68"/>
        <v>71.838616467624206</v>
      </c>
    </row>
    <row r="230" spans="1:45" x14ac:dyDescent="0.2">
      <c r="A230" s="704">
        <v>2093</v>
      </c>
      <c r="B230" s="704">
        <v>2093</v>
      </c>
      <c r="C230" s="704" t="s">
        <v>577</v>
      </c>
      <c r="D230" s="704" t="s">
        <v>526</v>
      </c>
      <c r="E230" s="704">
        <v>0.99999000000000005</v>
      </c>
      <c r="F230" s="704">
        <v>99.998999999999995</v>
      </c>
      <c r="H230">
        <f t="shared" si="56"/>
        <v>2093</v>
      </c>
      <c r="I230" t="str">
        <f t="shared" si="57"/>
        <v>Greater Sydney</v>
      </c>
      <c r="O230" s="704"/>
      <c r="P230" s="729"/>
      <c r="Q230" s="729"/>
      <c r="R230" s="729"/>
      <c r="S230" s="729"/>
      <c r="T230" s="729"/>
      <c r="U230" s="729"/>
      <c r="V230" s="729"/>
      <c r="W230" s="729"/>
      <c r="X230" s="729"/>
      <c r="Y230" s="729"/>
      <c r="Z230" s="729"/>
      <c r="AA230" s="729"/>
      <c r="AB230" s="729"/>
      <c r="AC230" s="729"/>
      <c r="AF230" s="732"/>
      <c r="AG230" s="732"/>
      <c r="AH230" s="732"/>
      <c r="AI230" s="732"/>
      <c r="AJ230" s="732"/>
      <c r="AK230" s="732"/>
      <c r="AL230" s="732"/>
      <c r="AM230" s="732"/>
      <c r="AN230" s="732"/>
      <c r="AO230" s="732"/>
      <c r="AP230" s="732"/>
      <c r="AQ230" s="732"/>
      <c r="AR230" s="732"/>
      <c r="AS230" s="732"/>
    </row>
    <row r="231" spans="1:45" ht="28.5" x14ac:dyDescent="0.45">
      <c r="A231" s="704">
        <v>2094</v>
      </c>
      <c r="B231" s="704">
        <v>2094</v>
      </c>
      <c r="C231" s="704" t="s">
        <v>577</v>
      </c>
      <c r="D231" s="704" t="s">
        <v>526</v>
      </c>
      <c r="E231" s="704">
        <v>1</v>
      </c>
      <c r="F231" s="704">
        <v>100</v>
      </c>
      <c r="H231">
        <f t="shared" si="56"/>
        <v>2094</v>
      </c>
      <c r="I231" t="str">
        <f t="shared" si="57"/>
        <v>Greater Sydney</v>
      </c>
      <c r="O231" s="705" t="s">
        <v>494</v>
      </c>
      <c r="P231" s="729"/>
      <c r="Q231" s="729"/>
      <c r="R231" s="729"/>
      <c r="S231" s="729"/>
      <c r="T231" s="729"/>
      <c r="U231" s="729"/>
      <c r="V231" s="729"/>
      <c r="W231" s="729"/>
      <c r="X231" s="729"/>
      <c r="Y231" s="729"/>
      <c r="Z231" s="729"/>
      <c r="AA231" s="729"/>
      <c r="AB231" s="729"/>
      <c r="AC231" s="729"/>
      <c r="AE231" t="s">
        <v>535</v>
      </c>
      <c r="AF231" s="732"/>
      <c r="AG231" s="732"/>
      <c r="AH231" s="732"/>
      <c r="AI231" s="732"/>
      <c r="AJ231" s="732"/>
      <c r="AK231" s="732"/>
      <c r="AL231" s="732"/>
      <c r="AM231" s="732"/>
      <c r="AN231" s="732"/>
      <c r="AO231" s="732"/>
      <c r="AP231" s="732"/>
      <c r="AQ231" s="732"/>
      <c r="AR231" s="732"/>
      <c r="AS231" s="732"/>
    </row>
    <row r="232" spans="1:45" x14ac:dyDescent="0.2">
      <c r="A232" s="704">
        <v>2095</v>
      </c>
      <c r="B232" s="704">
        <v>2095</v>
      </c>
      <c r="C232" s="704" t="s">
        <v>577</v>
      </c>
      <c r="D232" s="704" t="s">
        <v>526</v>
      </c>
      <c r="E232" s="704">
        <v>0.98757499999999998</v>
      </c>
      <c r="F232" s="704">
        <v>98.757499999999993</v>
      </c>
      <c r="H232">
        <f t="shared" si="56"/>
        <v>2095</v>
      </c>
      <c r="I232" t="str">
        <f t="shared" si="57"/>
        <v>Greater Sydney</v>
      </c>
      <c r="O232" s="704" t="s">
        <v>524</v>
      </c>
      <c r="P232" s="729"/>
      <c r="Q232" s="729">
        <v>570.40886846978628</v>
      </c>
      <c r="R232" s="729">
        <v>586.7139719792076</v>
      </c>
      <c r="S232" s="729">
        <v>610.64788738165271</v>
      </c>
      <c r="T232" s="729">
        <v>654.16712089542568</v>
      </c>
      <c r="U232" s="729">
        <v>714.26853036756097</v>
      </c>
      <c r="V232" s="729">
        <v>801.55591835971336</v>
      </c>
      <c r="W232" s="729">
        <v>875.64702792634375</v>
      </c>
      <c r="X232" s="729">
        <v>964.66102822145683</v>
      </c>
      <c r="Y232" s="729">
        <v>1011.7880276470939</v>
      </c>
      <c r="Z232" s="729">
        <v>1066.8834924611001</v>
      </c>
      <c r="AA232" s="729">
        <v>1198.4590607324906</v>
      </c>
      <c r="AB232" s="729">
        <v>1353.9899939727709</v>
      </c>
      <c r="AC232" s="729">
        <v>1391.0613545913454</v>
      </c>
      <c r="AE232" t="s">
        <v>528</v>
      </c>
      <c r="AF232" s="732">
        <f>MAX(P288-P287,0)</f>
        <v>0</v>
      </c>
      <c r="AG232" s="732">
        <f t="shared" ref="AG232:AS232" si="69">MAX(Q288-Q287,0)</f>
        <v>0</v>
      </c>
      <c r="AH232" s="732">
        <f t="shared" si="69"/>
        <v>117.78566471666488</v>
      </c>
      <c r="AI232" s="732">
        <f t="shared" si="69"/>
        <v>117.80220010954554</v>
      </c>
      <c r="AJ232" s="732">
        <f t="shared" si="69"/>
        <v>117.83226934763616</v>
      </c>
      <c r="AK232" s="732">
        <f t="shared" si="69"/>
        <v>117.87379446163209</v>
      </c>
      <c r="AL232" s="732">
        <f t="shared" si="69"/>
        <v>117.93410460751818</v>
      </c>
      <c r="AM232" s="732">
        <f t="shared" si="69"/>
        <v>117.9852936417193</v>
      </c>
      <c r="AN232" s="732">
        <f t="shared" si="69"/>
        <v>118.04679767921857</v>
      </c>
      <c r="AO232" s="732">
        <f t="shared" si="69"/>
        <v>118.07935611861046</v>
      </c>
      <c r="AP232" s="732">
        <f t="shared" si="69"/>
        <v>118.11742283713374</v>
      </c>
      <c r="AQ232" s="732">
        <f t="shared" si="69"/>
        <v>118.20832819371708</v>
      </c>
      <c r="AR232" s="732">
        <f t="shared" si="69"/>
        <v>118.31578822790561</v>
      </c>
      <c r="AS232" s="732">
        <f t="shared" si="69"/>
        <v>118.34140648197672</v>
      </c>
    </row>
    <row r="233" spans="1:45" x14ac:dyDescent="0.2">
      <c r="A233" s="704">
        <v>2096</v>
      </c>
      <c r="B233" s="704">
        <v>2096</v>
      </c>
      <c r="C233" s="704" t="s">
        <v>577</v>
      </c>
      <c r="D233" s="704" t="s">
        <v>526</v>
      </c>
      <c r="E233" s="704">
        <v>0.99860400000000005</v>
      </c>
      <c r="F233" s="704">
        <v>99.860399999999998</v>
      </c>
      <c r="H233">
        <f t="shared" si="56"/>
        <v>2096</v>
      </c>
      <c r="I233" t="str">
        <f t="shared" si="57"/>
        <v>Greater Sydney</v>
      </c>
      <c r="O233" s="704" t="s">
        <v>527</v>
      </c>
      <c r="P233" s="729"/>
      <c r="Q233" s="729"/>
      <c r="R233" s="729">
        <v>681.43318931617068</v>
      </c>
      <c r="S233" s="729">
        <v>705.34439370082862</v>
      </c>
      <c r="T233" s="729">
        <v>748.82232917726515</v>
      </c>
      <c r="U233" s="729">
        <v>808.86670538350245</v>
      </c>
      <c r="V233" s="729">
        <v>896.07126417629775</v>
      </c>
      <c r="W233" s="729">
        <v>970.09206267763284</v>
      </c>
      <c r="X233" s="729">
        <v>1059.0215974144892</v>
      </c>
      <c r="Y233" s="729">
        <v>1106.1038747760638</v>
      </c>
      <c r="Z233" s="729">
        <v>1161.1470570943513</v>
      </c>
      <c r="AA233" s="729">
        <v>1292.5977663503763</v>
      </c>
      <c r="AB233" s="729">
        <v>1447.9811095910759</v>
      </c>
      <c r="AC233" s="729">
        <v>1485.0172909253217</v>
      </c>
    </row>
    <row r="234" spans="1:45" x14ac:dyDescent="0.2">
      <c r="A234" s="704">
        <v>2097</v>
      </c>
      <c r="B234" s="704">
        <v>2097</v>
      </c>
      <c r="C234" s="704" t="s">
        <v>577</v>
      </c>
      <c r="D234" s="704" t="s">
        <v>526</v>
      </c>
      <c r="E234" s="704">
        <v>1</v>
      </c>
      <c r="F234" s="704">
        <v>100</v>
      </c>
      <c r="H234">
        <f t="shared" si="56"/>
        <v>2097</v>
      </c>
      <c r="I234" t="str">
        <f t="shared" si="57"/>
        <v>Greater Sydney</v>
      </c>
      <c r="O234" s="704" t="s">
        <v>531</v>
      </c>
      <c r="P234" s="729"/>
      <c r="Q234" s="729"/>
      <c r="R234" s="729">
        <v>759.53048324384054</v>
      </c>
      <c r="S234" s="729">
        <v>783.53485330279602</v>
      </c>
      <c r="T234" s="729">
        <v>827.1821965245224</v>
      </c>
      <c r="U234" s="729">
        <v>887.4605303306746</v>
      </c>
      <c r="V234" s="729">
        <v>975.00486953258508</v>
      </c>
      <c r="W234" s="729">
        <v>1049.3140843683077</v>
      </c>
      <c r="X234" s="729">
        <v>1138.5901179758905</v>
      </c>
      <c r="Y234" s="729">
        <v>1185.855849249486</v>
      </c>
      <c r="Z234" s="729">
        <v>1241.1135009637317</v>
      </c>
      <c r="AA234" s="729">
        <v>1373.0763939812912</v>
      </c>
      <c r="AB234" s="729">
        <v>1529.0651702972918</v>
      </c>
      <c r="AC234" s="729">
        <v>1566.2456596025349</v>
      </c>
    </row>
    <row r="235" spans="1:45" x14ac:dyDescent="0.2">
      <c r="A235" s="704">
        <v>2099</v>
      </c>
      <c r="B235" s="704">
        <v>2099</v>
      </c>
      <c r="C235" s="704" t="s">
        <v>577</v>
      </c>
      <c r="D235" s="704" t="s">
        <v>526</v>
      </c>
      <c r="E235" s="704">
        <v>1</v>
      </c>
      <c r="F235" s="704">
        <v>100</v>
      </c>
      <c r="H235">
        <f t="shared" si="56"/>
        <v>2099</v>
      </c>
      <c r="I235" t="str">
        <f t="shared" si="57"/>
        <v>Greater Sydney</v>
      </c>
      <c r="O235" s="704" t="s">
        <v>534</v>
      </c>
      <c r="P235" s="729"/>
      <c r="Q235" s="729"/>
      <c r="R235" s="729"/>
      <c r="S235" s="729">
        <v>852.42725779536943</v>
      </c>
      <c r="T235" s="729">
        <v>896.22307296667577</v>
      </c>
      <c r="U235" s="729">
        <v>956.70645012323439</v>
      </c>
      <c r="V235" s="729">
        <v>1044.5485867768234</v>
      </c>
      <c r="W235" s="729">
        <v>1119.1105721597955</v>
      </c>
      <c r="X235" s="729">
        <v>1208.6902916260603</v>
      </c>
      <c r="Y235" s="729">
        <v>1256.1168034832494</v>
      </c>
      <c r="Z235" s="729">
        <v>1311.5624213424994</v>
      </c>
      <c r="AA235" s="729">
        <v>1443.9742046163676</v>
      </c>
      <c r="AB235" s="729">
        <v>1600.4936014507748</v>
      </c>
      <c r="AC235" s="729">
        <v>1637.8005623172942</v>
      </c>
    </row>
    <row r="236" spans="1:45" x14ac:dyDescent="0.2">
      <c r="A236" s="704">
        <v>2100</v>
      </c>
      <c r="B236" s="704">
        <v>2100</v>
      </c>
      <c r="C236" s="704" t="s">
        <v>577</v>
      </c>
      <c r="D236" s="704" t="s">
        <v>526</v>
      </c>
      <c r="E236" s="704">
        <v>1</v>
      </c>
      <c r="F236" s="704">
        <v>100</v>
      </c>
      <c r="H236">
        <f t="shared" si="56"/>
        <v>2100</v>
      </c>
      <c r="I236" t="str">
        <f t="shared" si="57"/>
        <v>Greater Sydney</v>
      </c>
      <c r="O236" s="704"/>
      <c r="P236" s="729"/>
      <c r="Q236" s="729"/>
      <c r="R236" s="729"/>
      <c r="S236" s="729"/>
      <c r="T236" s="729"/>
      <c r="U236" s="729"/>
      <c r="V236" s="729"/>
      <c r="W236" s="729"/>
      <c r="X236" s="729"/>
      <c r="Y236" s="729"/>
      <c r="Z236" s="729"/>
      <c r="AA236" s="729"/>
      <c r="AB236" s="729"/>
      <c r="AC236" s="729"/>
    </row>
    <row r="237" spans="1:45" x14ac:dyDescent="0.2">
      <c r="A237" s="704">
        <v>2101</v>
      </c>
      <c r="B237" s="704">
        <v>2101</v>
      </c>
      <c r="C237" s="704" t="s">
        <v>577</v>
      </c>
      <c r="D237" s="704" t="s">
        <v>526</v>
      </c>
      <c r="E237" s="704">
        <v>0.987954</v>
      </c>
      <c r="F237" s="704">
        <v>98.795500000000004</v>
      </c>
      <c r="H237">
        <f t="shared" si="56"/>
        <v>2101</v>
      </c>
      <c r="I237" t="str">
        <f t="shared" si="57"/>
        <v>Greater Sydney</v>
      </c>
      <c r="O237" s="704" t="s">
        <v>535</v>
      </c>
      <c r="P237" s="729">
        <v>267.27911364543974</v>
      </c>
      <c r="Q237" s="729">
        <v>284.42036897788637</v>
      </c>
      <c r="R237" s="729">
        <v>300.56869383299448</v>
      </c>
      <c r="S237" s="729">
        <v>324.27247638661839</v>
      </c>
      <c r="T237" s="729">
        <v>367.37325643168555</v>
      </c>
      <c r="U237" s="729">
        <v>426.89677109439668</v>
      </c>
      <c r="V237" s="729">
        <v>513.34486074837355</v>
      </c>
      <c r="W237" s="729">
        <v>586.72355786016385</v>
      </c>
      <c r="X237" s="729">
        <v>674.88165904283608</v>
      </c>
      <c r="Y237" s="729">
        <v>721.55551605049152</v>
      </c>
      <c r="Z237" s="729">
        <v>776.12121968110478</v>
      </c>
      <c r="AA237" s="729">
        <v>906.43164303376363</v>
      </c>
      <c r="AB237" s="729">
        <v>1060.4670921689353</v>
      </c>
      <c r="AC237" s="729">
        <v>1097.1819990457166</v>
      </c>
    </row>
    <row r="238" spans="1:45" x14ac:dyDescent="0.2">
      <c r="A238" s="704">
        <v>2102</v>
      </c>
      <c r="B238" s="704">
        <v>2102</v>
      </c>
      <c r="C238" s="704" t="s">
        <v>577</v>
      </c>
      <c r="D238" s="704" t="s">
        <v>526</v>
      </c>
      <c r="E238" s="704">
        <v>1</v>
      </c>
      <c r="F238" s="704">
        <v>100</v>
      </c>
      <c r="H238">
        <f t="shared" si="56"/>
        <v>2102</v>
      </c>
      <c r="I238" t="str">
        <f t="shared" si="57"/>
        <v>Greater Sydney</v>
      </c>
      <c r="O238" s="704" t="s">
        <v>542</v>
      </c>
      <c r="P238" s="729"/>
      <c r="Q238" s="729">
        <v>384.30598797614198</v>
      </c>
      <c r="R238" s="729">
        <v>400.3537758952782</v>
      </c>
      <c r="S238" s="729">
        <v>423.90998499094525</v>
      </c>
      <c r="T238" s="729">
        <v>466.74243014969403</v>
      </c>
      <c r="U238" s="729">
        <v>525.8953646639942</v>
      </c>
      <c r="V238" s="729">
        <v>611.80525110091821</v>
      </c>
      <c r="W238" s="729">
        <v>684.72710869564639</v>
      </c>
      <c r="X238" s="729">
        <v>772.33635918396442</v>
      </c>
      <c r="Y238" s="729">
        <v>818.71963413975561</v>
      </c>
      <c r="Z238" s="729">
        <v>872.94562668748165</v>
      </c>
      <c r="AA238" s="729">
        <v>1002.4447674056906</v>
      </c>
      <c r="AB238" s="729">
        <v>1155.5212307744659</v>
      </c>
      <c r="AC238" s="729">
        <v>1192.0075576481395</v>
      </c>
    </row>
    <row r="239" spans="1:45" x14ac:dyDescent="0.2">
      <c r="A239" s="704">
        <v>2103</v>
      </c>
      <c r="B239" s="704">
        <v>2103</v>
      </c>
      <c r="C239" s="704" t="s">
        <v>577</v>
      </c>
      <c r="D239" s="704" t="s">
        <v>526</v>
      </c>
      <c r="E239" s="704">
        <v>0.99618099999999998</v>
      </c>
      <c r="F239" s="704">
        <v>99.618099999999998</v>
      </c>
      <c r="H239">
        <f t="shared" si="56"/>
        <v>2103</v>
      </c>
      <c r="I239" t="str">
        <f t="shared" si="57"/>
        <v>Greater Sydney</v>
      </c>
      <c r="O239" s="704" t="s">
        <v>545</v>
      </c>
      <c r="P239" s="729"/>
      <c r="Q239" s="729">
        <v>502.02292758047525</v>
      </c>
      <c r="R239" s="729">
        <v>518.08198171231561</v>
      </c>
      <c r="S239" s="729">
        <v>541.65472789874605</v>
      </c>
      <c r="T239" s="729">
        <v>584.51724158399793</v>
      </c>
      <c r="U239" s="729">
        <v>643.71170266296951</v>
      </c>
      <c r="V239" s="729">
        <v>729.68189711539924</v>
      </c>
      <c r="W239" s="729">
        <v>802.65494731735498</v>
      </c>
      <c r="X239" s="729">
        <v>890.32569637525512</v>
      </c>
      <c r="Y239" s="729">
        <v>936.74153631115678</v>
      </c>
      <c r="Z239" s="729">
        <v>991.00559558275881</v>
      </c>
      <c r="AA239" s="729">
        <v>1120.5956415003125</v>
      </c>
      <c r="AB239" s="729">
        <v>1273.7795616920657</v>
      </c>
      <c r="AC239" s="729">
        <v>1310.2915071114041</v>
      </c>
    </row>
    <row r="240" spans="1:45" x14ac:dyDescent="0.2">
      <c r="A240" s="704">
        <v>2104</v>
      </c>
      <c r="B240" s="704">
        <v>2104</v>
      </c>
      <c r="C240" s="704" t="s">
        <v>577</v>
      </c>
      <c r="D240" s="704" t="s">
        <v>526</v>
      </c>
      <c r="E240" s="704">
        <v>0.99751299999999998</v>
      </c>
      <c r="F240" s="704">
        <v>99.751300000000001</v>
      </c>
      <c r="H240">
        <f t="shared" si="56"/>
        <v>2104</v>
      </c>
      <c r="I240" t="str">
        <f t="shared" si="57"/>
        <v>Greater Sydney</v>
      </c>
      <c r="O240" s="704" t="s">
        <v>548</v>
      </c>
      <c r="P240" s="729"/>
      <c r="Q240" s="729"/>
      <c r="R240" s="729">
        <v>635.81018752935302</v>
      </c>
      <c r="S240" s="729">
        <v>659.39947080654679</v>
      </c>
      <c r="T240" s="729">
        <v>702.29205301830189</v>
      </c>
      <c r="U240" s="729">
        <v>761.52804066194483</v>
      </c>
      <c r="V240" s="729">
        <v>847.55854312988026</v>
      </c>
      <c r="W240" s="729">
        <v>920.58278593906357</v>
      </c>
      <c r="X240" s="729">
        <v>1008.3150335665458</v>
      </c>
      <c r="Y240" s="729">
        <v>1054.7634384825578</v>
      </c>
      <c r="Z240" s="729">
        <v>1109.0655644780359</v>
      </c>
      <c r="AA240" s="729">
        <v>1238.7465155949344</v>
      </c>
      <c r="AB240" s="729">
        <v>1392.0378926096655</v>
      </c>
      <c r="AC240" s="729">
        <v>1428.5754565746688</v>
      </c>
    </row>
    <row r="241" spans="1:29" x14ac:dyDescent="0.2">
      <c r="A241" s="704">
        <v>2105</v>
      </c>
      <c r="B241" s="704">
        <v>2105</v>
      </c>
      <c r="C241" s="704" t="s">
        <v>577</v>
      </c>
      <c r="D241" s="704" t="s">
        <v>526</v>
      </c>
      <c r="E241" s="704">
        <v>0.95967100000000005</v>
      </c>
      <c r="F241" s="704">
        <v>95.967100000000002</v>
      </c>
      <c r="H241">
        <f t="shared" si="56"/>
        <v>2105</v>
      </c>
      <c r="I241" t="str">
        <f t="shared" si="57"/>
        <v>Greater Sydney</v>
      </c>
      <c r="O241" s="704"/>
      <c r="P241" s="729"/>
      <c r="Q241" s="729"/>
      <c r="R241" s="729"/>
      <c r="S241" s="729"/>
      <c r="T241" s="729"/>
      <c r="U241" s="729"/>
      <c r="V241" s="729"/>
      <c r="W241" s="729"/>
      <c r="X241" s="729"/>
      <c r="Y241" s="729"/>
      <c r="Z241" s="729"/>
      <c r="AA241" s="729"/>
      <c r="AB241" s="729"/>
      <c r="AC241" s="729"/>
    </row>
    <row r="242" spans="1:29" x14ac:dyDescent="0.2">
      <c r="A242" s="704">
        <v>2106</v>
      </c>
      <c r="B242" s="704">
        <v>2106</v>
      </c>
      <c r="C242" s="704" t="s">
        <v>577</v>
      </c>
      <c r="D242" s="704" t="s">
        <v>526</v>
      </c>
      <c r="E242" s="704">
        <v>0.990174</v>
      </c>
      <c r="F242" s="704">
        <v>99.017399999999995</v>
      </c>
      <c r="H242">
        <f t="shared" si="56"/>
        <v>2106</v>
      </c>
      <c r="I242" t="str">
        <f t="shared" si="57"/>
        <v>Greater Sydney</v>
      </c>
      <c r="O242" s="704"/>
      <c r="P242" s="729"/>
      <c r="Q242" s="729"/>
      <c r="R242" s="729"/>
      <c r="S242" s="729"/>
      <c r="T242" s="729"/>
      <c r="U242" s="729"/>
      <c r="V242" s="729"/>
      <c r="W242" s="729"/>
      <c r="X242" s="729"/>
      <c r="Y242" s="729"/>
      <c r="Z242" s="729"/>
      <c r="AA242" s="729"/>
      <c r="AB242" s="729"/>
      <c r="AC242" s="729"/>
    </row>
    <row r="243" spans="1:29" ht="28.5" x14ac:dyDescent="0.45">
      <c r="A243" s="704">
        <v>2107</v>
      </c>
      <c r="B243" s="704">
        <v>2107</v>
      </c>
      <c r="C243" s="704" t="s">
        <v>577</v>
      </c>
      <c r="D243" s="704" t="s">
        <v>526</v>
      </c>
      <c r="E243" s="704">
        <v>0.992537</v>
      </c>
      <c r="F243" s="704">
        <v>99.253699999999995</v>
      </c>
      <c r="H243">
        <f t="shared" si="56"/>
        <v>2107</v>
      </c>
      <c r="I243" t="str">
        <f t="shared" si="57"/>
        <v>Greater Sydney</v>
      </c>
      <c r="O243" s="705" t="s">
        <v>495</v>
      </c>
      <c r="P243" s="729"/>
      <c r="Q243" s="729"/>
      <c r="R243" s="729"/>
      <c r="S243" s="729"/>
      <c r="T243" s="729"/>
      <c r="U243" s="729"/>
      <c r="V243" s="729"/>
      <c r="W243" s="729"/>
      <c r="X243" s="729"/>
      <c r="Y243" s="729"/>
      <c r="Z243" s="729"/>
      <c r="AA243" s="729"/>
      <c r="AB243" s="729"/>
      <c r="AC243" s="729"/>
    </row>
    <row r="244" spans="1:29" x14ac:dyDescent="0.2">
      <c r="A244" s="704">
        <v>2108</v>
      </c>
      <c r="B244" s="704">
        <v>2108</v>
      </c>
      <c r="C244" s="704" t="s">
        <v>577</v>
      </c>
      <c r="D244" s="704" t="s">
        <v>526</v>
      </c>
      <c r="E244" s="704">
        <v>0.98879700000000004</v>
      </c>
      <c r="F244" s="704">
        <v>98.8797</v>
      </c>
      <c r="H244">
        <f t="shared" si="56"/>
        <v>2108</v>
      </c>
      <c r="I244" t="str">
        <f t="shared" si="57"/>
        <v>Greater Sydney</v>
      </c>
      <c r="O244" s="704" t="s">
        <v>524</v>
      </c>
      <c r="P244" s="729"/>
      <c r="Q244" s="729">
        <v>623.66244064739305</v>
      </c>
      <c r="R244" s="729">
        <v>639.96754505112858</v>
      </c>
      <c r="S244" s="729">
        <v>663.90145979865815</v>
      </c>
      <c r="T244" s="729">
        <v>707.42069266132773</v>
      </c>
      <c r="U244" s="729">
        <v>767.52210298279476</v>
      </c>
      <c r="V244" s="729">
        <v>854.80949233814727</v>
      </c>
      <c r="W244" s="729">
        <v>928.90059988894916</v>
      </c>
      <c r="X244" s="729">
        <v>1017.9146003670421</v>
      </c>
      <c r="Y244" s="729">
        <v>1065.0416007441745</v>
      </c>
      <c r="Z244" s="729">
        <v>1120.1370657106643</v>
      </c>
      <c r="AA244" s="729">
        <v>1251.7126337929756</v>
      </c>
      <c r="AB244" s="729">
        <v>1407.2435675943939</v>
      </c>
      <c r="AC244" s="729">
        <v>1444.3149275908368</v>
      </c>
    </row>
    <row r="245" spans="1:29" x14ac:dyDescent="0.2">
      <c r="A245" s="704">
        <v>2109</v>
      </c>
      <c r="B245" s="704">
        <v>2109</v>
      </c>
      <c r="C245" s="704" t="s">
        <v>577</v>
      </c>
      <c r="D245" s="704" t="s">
        <v>526</v>
      </c>
      <c r="E245" s="704">
        <v>1</v>
      </c>
      <c r="F245" s="704">
        <v>100</v>
      </c>
      <c r="H245">
        <f t="shared" si="56"/>
        <v>2109</v>
      </c>
      <c r="I245" t="str">
        <f t="shared" si="57"/>
        <v>Greater Sydney</v>
      </c>
      <c r="O245" s="704" t="s">
        <v>527</v>
      </c>
      <c r="P245" s="729"/>
      <c r="Q245" s="729"/>
      <c r="R245" s="729">
        <v>734.63622836777279</v>
      </c>
      <c r="S245" s="729">
        <v>758.54743158962731</v>
      </c>
      <c r="T245" s="729">
        <v>802.02536731471344</v>
      </c>
      <c r="U245" s="729">
        <v>862.06974510060843</v>
      </c>
      <c r="V245" s="729">
        <v>949.27430133377334</v>
      </c>
      <c r="W245" s="729">
        <v>1023.2951033600855</v>
      </c>
      <c r="X245" s="729">
        <v>1112.224633211704</v>
      </c>
      <c r="Y245" s="729">
        <v>1159.3069143761581</v>
      </c>
      <c r="Z245" s="729">
        <v>1214.3500969284689</v>
      </c>
      <c r="AA245" s="729">
        <v>1345.800805511677</v>
      </c>
      <c r="AB245" s="729">
        <v>1501.1841479918007</v>
      </c>
      <c r="AC245" s="729">
        <v>1538.220332485362</v>
      </c>
    </row>
    <row r="246" spans="1:29" x14ac:dyDescent="0.2">
      <c r="A246" s="704">
        <v>2110</v>
      </c>
      <c r="B246" s="704">
        <v>2110</v>
      </c>
      <c r="C246" s="704" t="s">
        <v>577</v>
      </c>
      <c r="D246" s="704" t="s">
        <v>526</v>
      </c>
      <c r="E246" s="704">
        <v>0.96914400000000001</v>
      </c>
      <c r="F246" s="704">
        <v>96.914400000000001</v>
      </c>
      <c r="H246">
        <f t="shared" si="56"/>
        <v>2110</v>
      </c>
      <c r="I246" t="str">
        <f t="shared" si="57"/>
        <v>Greater Sydney</v>
      </c>
      <c r="O246" s="704" t="s">
        <v>531</v>
      </c>
      <c r="P246" s="729"/>
      <c r="Q246" s="729"/>
      <c r="R246" s="729">
        <v>812.94082024322211</v>
      </c>
      <c r="S246" s="729">
        <v>836.94519242578417</v>
      </c>
      <c r="T246" s="729">
        <v>880.59253463626919</v>
      </c>
      <c r="U246" s="729">
        <v>940.87086671798886</v>
      </c>
      <c r="V246" s="729">
        <v>1028.4152085384824</v>
      </c>
      <c r="W246" s="729">
        <v>1102.7244208407792</v>
      </c>
      <c r="X246" s="729">
        <v>1192.0004572159698</v>
      </c>
      <c r="Y246" s="729">
        <v>1239.266186062586</v>
      </c>
      <c r="Z246" s="729">
        <v>1294.523838245196</v>
      </c>
      <c r="AA246" s="729">
        <v>1426.4867304537627</v>
      </c>
      <c r="AB246" s="729">
        <v>1582.4755076639135</v>
      </c>
      <c r="AC246" s="729">
        <v>1619.6559972246282</v>
      </c>
    </row>
    <row r="247" spans="1:29" x14ac:dyDescent="0.2">
      <c r="A247" s="704">
        <v>2111</v>
      </c>
      <c r="B247" s="704">
        <v>2111</v>
      </c>
      <c r="C247" s="704" t="s">
        <v>577</v>
      </c>
      <c r="D247" s="704" t="s">
        <v>526</v>
      </c>
      <c r="E247" s="704">
        <v>0.98894300000000002</v>
      </c>
      <c r="F247" s="704">
        <v>98.894300000000001</v>
      </c>
      <c r="H247">
        <f t="shared" si="56"/>
        <v>2111</v>
      </c>
      <c r="I247" t="str">
        <f t="shared" si="57"/>
        <v>Greater Sydney</v>
      </c>
      <c r="O247" s="704" t="s">
        <v>534</v>
      </c>
      <c r="P247" s="729"/>
      <c r="Q247" s="729"/>
      <c r="R247" s="729"/>
      <c r="S247" s="729">
        <v>906.0192784870269</v>
      </c>
      <c r="T247" s="729">
        <v>949.81509462144697</v>
      </c>
      <c r="U247" s="729">
        <v>1010.2984704938536</v>
      </c>
      <c r="V247" s="729">
        <v>1098.140606184329</v>
      </c>
      <c r="W247" s="729">
        <v>1172.7025908668547</v>
      </c>
      <c r="X247" s="729">
        <v>1262.2823131349051</v>
      </c>
      <c r="Y247" s="729">
        <v>1309.7088246418714</v>
      </c>
      <c r="Z247" s="729">
        <v>1365.1544409251171</v>
      </c>
      <c r="AA247" s="729">
        <v>1497.5662223894983</v>
      </c>
      <c r="AB247" s="729">
        <v>1654.0856189904234</v>
      </c>
      <c r="AC247" s="729">
        <v>1691.3925830089518</v>
      </c>
    </row>
    <row r="248" spans="1:29" x14ac:dyDescent="0.2">
      <c r="A248" s="704">
        <v>2112</v>
      </c>
      <c r="B248" s="704">
        <v>2112</v>
      </c>
      <c r="C248" s="704" t="s">
        <v>577</v>
      </c>
      <c r="D248" s="704" t="s">
        <v>526</v>
      </c>
      <c r="E248" s="704">
        <v>0.99884600000000001</v>
      </c>
      <c r="F248" s="704">
        <v>99.884600000000006</v>
      </c>
      <c r="H248">
        <f t="shared" si="56"/>
        <v>2112</v>
      </c>
      <c r="I248" t="str">
        <f t="shared" si="57"/>
        <v>Greater Sydney</v>
      </c>
      <c r="O248" s="704"/>
      <c r="P248" s="729"/>
      <c r="Q248" s="729"/>
      <c r="R248" s="729"/>
      <c r="S248" s="729"/>
      <c r="T248" s="729"/>
      <c r="U248" s="729"/>
      <c r="V248" s="729"/>
      <c r="W248" s="729"/>
      <c r="X248" s="729"/>
      <c r="Y248" s="729"/>
      <c r="Z248" s="729"/>
      <c r="AA248" s="729"/>
      <c r="AB248" s="729"/>
      <c r="AC248" s="729"/>
    </row>
    <row r="249" spans="1:29" x14ac:dyDescent="0.2">
      <c r="A249" s="704">
        <v>2113</v>
      </c>
      <c r="B249" s="704">
        <v>2113</v>
      </c>
      <c r="C249" s="704" t="s">
        <v>577</v>
      </c>
      <c r="D249" s="704" t="s">
        <v>526</v>
      </c>
      <c r="E249" s="704">
        <v>0.99879799999999996</v>
      </c>
      <c r="F249" s="704">
        <v>99.879800000000003</v>
      </c>
      <c r="H249">
        <f t="shared" ref="H249:H312" si="70">A249*1</f>
        <v>2113</v>
      </c>
      <c r="I249" t="str">
        <f t="shared" ref="I249:I312" si="71">D249</f>
        <v>Greater Sydney</v>
      </c>
      <c r="O249" s="704" t="s">
        <v>535</v>
      </c>
      <c r="P249" s="729">
        <v>320.02063512923439</v>
      </c>
      <c r="Q249" s="729">
        <v>337.16189031049799</v>
      </c>
      <c r="R249" s="729">
        <v>353.31021531130625</v>
      </c>
      <c r="S249" s="729">
        <v>377.01399701074945</v>
      </c>
      <c r="T249" s="729">
        <v>420.11477772888793</v>
      </c>
      <c r="U249" s="729">
        <v>479.63829236409282</v>
      </c>
      <c r="V249" s="729">
        <v>566.08638215310066</v>
      </c>
      <c r="W249" s="729">
        <v>639.465078931481</v>
      </c>
      <c r="X249" s="729">
        <v>727.62318008414627</v>
      </c>
      <c r="Y249" s="729">
        <v>774.29703751189822</v>
      </c>
      <c r="Z249" s="729">
        <v>828.8627403956732</v>
      </c>
      <c r="AA249" s="729">
        <v>959.1731648419169</v>
      </c>
      <c r="AB249" s="729">
        <v>1113.2086152707193</v>
      </c>
      <c r="AC249" s="729">
        <v>1149.9235210072384</v>
      </c>
    </row>
    <row r="250" spans="1:29" x14ac:dyDescent="0.2">
      <c r="A250" s="704">
        <v>2114</v>
      </c>
      <c r="B250" s="704">
        <v>2114</v>
      </c>
      <c r="C250" s="704" t="s">
        <v>577</v>
      </c>
      <c r="D250" s="704" t="s">
        <v>526</v>
      </c>
      <c r="E250" s="704">
        <v>0.99888299999999997</v>
      </c>
      <c r="F250" s="704">
        <v>99.888300000000001</v>
      </c>
      <c r="H250">
        <f t="shared" si="70"/>
        <v>2114</v>
      </c>
      <c r="I250" t="str">
        <f t="shared" si="71"/>
        <v>Greater Sydney</v>
      </c>
      <c r="O250" s="704" t="s">
        <v>542</v>
      </c>
      <c r="P250" s="729"/>
      <c r="Q250" s="729">
        <v>436.71915360612843</v>
      </c>
      <c r="R250" s="729">
        <v>452.7669416161682</v>
      </c>
      <c r="S250" s="729">
        <v>476.323150171328</v>
      </c>
      <c r="T250" s="729">
        <v>519.15559564455384</v>
      </c>
      <c r="U250" s="729">
        <v>578.30852939231647</v>
      </c>
      <c r="V250" s="729">
        <v>664.21841508235809</v>
      </c>
      <c r="W250" s="729">
        <v>737.14027409223195</v>
      </c>
      <c r="X250" s="729">
        <v>824.74952257576001</v>
      </c>
      <c r="Y250" s="729">
        <v>871.13280154113147</v>
      </c>
      <c r="Z250" s="729">
        <v>925.35879322404594</v>
      </c>
      <c r="AA250" s="729">
        <v>1054.8579318981554</v>
      </c>
      <c r="AB250" s="729">
        <v>1207.9343951883118</v>
      </c>
      <c r="AC250" s="729">
        <v>1244.4207225337002</v>
      </c>
    </row>
    <row r="251" spans="1:29" x14ac:dyDescent="0.2">
      <c r="A251" s="704">
        <v>2115</v>
      </c>
      <c r="B251" s="704">
        <v>2115</v>
      </c>
      <c r="C251" s="704" t="s">
        <v>577</v>
      </c>
      <c r="D251" s="704" t="s">
        <v>526</v>
      </c>
      <c r="E251" s="704">
        <v>1</v>
      </c>
      <c r="F251" s="704">
        <v>100</v>
      </c>
      <c r="H251">
        <f t="shared" si="70"/>
        <v>2115</v>
      </c>
      <c r="I251" t="str">
        <f t="shared" si="71"/>
        <v>Greater Sydney</v>
      </c>
      <c r="O251" s="704" t="s">
        <v>545</v>
      </c>
      <c r="P251" s="729"/>
      <c r="Q251" s="729">
        <v>554.47288568989768</v>
      </c>
      <c r="R251" s="729">
        <v>570.53194332818953</v>
      </c>
      <c r="S251" s="729">
        <v>594.10468681918439</v>
      </c>
      <c r="T251" s="729">
        <v>636.96720062370332</v>
      </c>
      <c r="U251" s="729">
        <v>696.16166089165904</v>
      </c>
      <c r="V251" s="729">
        <v>782.13185615510474</v>
      </c>
      <c r="W251" s="729">
        <v>855.10490502126925</v>
      </c>
      <c r="X251" s="729">
        <v>942.7756578003017</v>
      </c>
      <c r="Y251" s="729">
        <v>989.19149210679814</v>
      </c>
      <c r="Z251" s="729">
        <v>1043.455551760055</v>
      </c>
      <c r="AA251" s="729">
        <v>1173.0455974867814</v>
      </c>
      <c r="AB251" s="729">
        <v>1326.2295201592895</v>
      </c>
      <c r="AC251" s="729">
        <v>1362.7414655786279</v>
      </c>
    </row>
    <row r="252" spans="1:29" x14ac:dyDescent="0.2">
      <c r="A252" s="704">
        <v>2116</v>
      </c>
      <c r="B252" s="704">
        <v>2116</v>
      </c>
      <c r="C252" s="704" t="s">
        <v>577</v>
      </c>
      <c r="D252" s="704" t="s">
        <v>526</v>
      </c>
      <c r="E252" s="704">
        <v>1</v>
      </c>
      <c r="F252" s="704">
        <v>100</v>
      </c>
      <c r="H252">
        <f t="shared" si="70"/>
        <v>2116</v>
      </c>
      <c r="I252" t="str">
        <f t="shared" si="71"/>
        <v>Greater Sydney</v>
      </c>
      <c r="O252" s="704" t="s">
        <v>548</v>
      </c>
      <c r="P252" s="729"/>
      <c r="Q252" s="729"/>
      <c r="R252" s="729">
        <v>688.29694504021086</v>
      </c>
      <c r="S252" s="729">
        <v>711.88622346704074</v>
      </c>
      <c r="T252" s="729">
        <v>754.7788056028528</v>
      </c>
      <c r="U252" s="729">
        <v>814.01479239100161</v>
      </c>
      <c r="V252" s="729">
        <v>900.04529722785139</v>
      </c>
      <c r="W252" s="729">
        <v>973.06953595030654</v>
      </c>
      <c r="X252" s="729">
        <v>1060.8017930248434</v>
      </c>
      <c r="Y252" s="729">
        <v>1107.2501826724647</v>
      </c>
      <c r="Z252" s="729">
        <v>1161.552310296064</v>
      </c>
      <c r="AA252" s="729">
        <v>1291.2332630754074</v>
      </c>
      <c r="AB252" s="729">
        <v>1444.5246451302671</v>
      </c>
      <c r="AC252" s="729">
        <v>1481.0622086235555</v>
      </c>
    </row>
    <row r="253" spans="1:29" x14ac:dyDescent="0.2">
      <c r="A253" s="704">
        <v>2117</v>
      </c>
      <c r="B253" s="704">
        <v>2117</v>
      </c>
      <c r="C253" s="704" t="s">
        <v>577</v>
      </c>
      <c r="D253" s="704" t="s">
        <v>526</v>
      </c>
      <c r="E253" s="704">
        <v>1</v>
      </c>
      <c r="F253" s="704">
        <v>100</v>
      </c>
      <c r="H253">
        <f t="shared" si="70"/>
        <v>2117</v>
      </c>
      <c r="I253" t="str">
        <f t="shared" si="71"/>
        <v>Greater Sydney</v>
      </c>
      <c r="O253" s="704"/>
      <c r="P253" s="729"/>
      <c r="Q253" s="729"/>
      <c r="R253" s="729"/>
      <c r="S253" s="729"/>
      <c r="T253" s="729"/>
      <c r="U253" s="729"/>
      <c r="V253" s="729"/>
      <c r="W253" s="729"/>
      <c r="X253" s="729"/>
      <c r="Y253" s="729"/>
      <c r="Z253" s="729"/>
      <c r="AA253" s="729"/>
      <c r="AB253" s="729"/>
      <c r="AC253" s="729"/>
    </row>
    <row r="254" spans="1:29" x14ac:dyDescent="0.2">
      <c r="A254" s="704">
        <v>2118</v>
      </c>
      <c r="B254" s="704">
        <v>2118</v>
      </c>
      <c r="C254" s="704" t="s">
        <v>577</v>
      </c>
      <c r="D254" s="704" t="s">
        <v>526</v>
      </c>
      <c r="E254" s="704">
        <v>1</v>
      </c>
      <c r="F254" s="704">
        <v>100</v>
      </c>
      <c r="H254">
        <f t="shared" si="70"/>
        <v>2118</v>
      </c>
      <c r="I254" t="str">
        <f t="shared" si="71"/>
        <v>Greater Sydney</v>
      </c>
      <c r="O254" s="704"/>
      <c r="P254" s="729"/>
      <c r="Q254" s="729"/>
      <c r="R254" s="729"/>
      <c r="S254" s="729"/>
      <c r="T254" s="729"/>
      <c r="U254" s="729"/>
      <c r="V254" s="729"/>
      <c r="W254" s="729"/>
      <c r="X254" s="729"/>
      <c r="Y254" s="729"/>
      <c r="Z254" s="729"/>
      <c r="AA254" s="729"/>
      <c r="AB254" s="729"/>
      <c r="AC254" s="729"/>
    </row>
    <row r="255" spans="1:29" ht="28.5" x14ac:dyDescent="0.45">
      <c r="A255" s="704">
        <v>2119</v>
      </c>
      <c r="B255" s="704">
        <v>2119</v>
      </c>
      <c r="C255" s="704" t="s">
        <v>577</v>
      </c>
      <c r="D255" s="704" t="s">
        <v>526</v>
      </c>
      <c r="E255" s="704">
        <v>1</v>
      </c>
      <c r="F255" s="704">
        <v>100</v>
      </c>
      <c r="H255">
        <f t="shared" si="70"/>
        <v>2119</v>
      </c>
      <c r="I255" t="str">
        <f t="shared" si="71"/>
        <v>Greater Sydney</v>
      </c>
      <c r="O255" s="705" t="s">
        <v>496</v>
      </c>
      <c r="P255" s="729"/>
      <c r="Q255" s="729"/>
      <c r="R255" s="729"/>
      <c r="S255" s="729"/>
      <c r="T255" s="729"/>
      <c r="U255" s="729"/>
      <c r="V255" s="729"/>
      <c r="W255" s="729"/>
      <c r="X255" s="729"/>
      <c r="Y255" s="729"/>
      <c r="Z255" s="729"/>
      <c r="AA255" s="729"/>
      <c r="AB255" s="729"/>
      <c r="AC255" s="729"/>
    </row>
    <row r="256" spans="1:29" x14ac:dyDescent="0.2">
      <c r="A256" s="704">
        <v>2120</v>
      </c>
      <c r="B256" s="704">
        <v>2120</v>
      </c>
      <c r="C256" s="704" t="s">
        <v>577</v>
      </c>
      <c r="D256" s="704" t="s">
        <v>526</v>
      </c>
      <c r="E256" s="704">
        <v>1</v>
      </c>
      <c r="F256" s="704">
        <v>100</v>
      </c>
      <c r="H256">
        <f t="shared" si="70"/>
        <v>2120</v>
      </c>
      <c r="I256" t="str">
        <f t="shared" si="71"/>
        <v>Greater Sydney</v>
      </c>
      <c r="O256" s="704" t="s">
        <v>524</v>
      </c>
      <c r="P256" s="729"/>
      <c r="Q256" s="729">
        <v>645.62222168571861</v>
      </c>
      <c r="R256" s="729">
        <v>661.92732578753737</v>
      </c>
      <c r="S256" s="729">
        <v>685.86124137677427</v>
      </c>
      <c r="T256" s="729">
        <v>729.38047405951352</v>
      </c>
      <c r="U256" s="729">
        <v>789.4818839143818</v>
      </c>
      <c r="V256" s="729">
        <v>876.76927165036238</v>
      </c>
      <c r="W256" s="729">
        <v>950.86038050337129</v>
      </c>
      <c r="X256" s="729">
        <v>1039.8743821220387</v>
      </c>
      <c r="Y256" s="729">
        <v>1087.0013816208677</v>
      </c>
      <c r="Z256" s="729">
        <v>1142.0968462701924</v>
      </c>
      <c r="AA256" s="729">
        <v>1273.6724151759133</v>
      </c>
      <c r="AB256" s="729">
        <v>1429.2033488065504</v>
      </c>
      <c r="AC256" s="729">
        <v>1466.274707802703</v>
      </c>
    </row>
    <row r="257" spans="1:29" x14ac:dyDescent="0.2">
      <c r="A257" s="704">
        <v>2121</v>
      </c>
      <c r="B257" s="704">
        <v>2121</v>
      </c>
      <c r="C257" s="704" t="s">
        <v>577</v>
      </c>
      <c r="D257" s="704" t="s">
        <v>526</v>
      </c>
      <c r="E257" s="704">
        <v>1</v>
      </c>
      <c r="F257" s="704">
        <v>100</v>
      </c>
      <c r="H257">
        <f t="shared" si="70"/>
        <v>2121</v>
      </c>
      <c r="I257" t="str">
        <f t="shared" si="71"/>
        <v>Greater Sydney</v>
      </c>
      <c r="O257" s="704" t="s">
        <v>527</v>
      </c>
      <c r="P257" s="729"/>
      <c r="Q257" s="729"/>
      <c r="R257" s="729">
        <v>756.57517160942768</v>
      </c>
      <c r="S257" s="729">
        <v>780.48637377817693</v>
      </c>
      <c r="T257" s="729">
        <v>823.96430834777289</v>
      </c>
      <c r="U257" s="729">
        <v>884.00868804973436</v>
      </c>
      <c r="V257" s="729">
        <v>971.21324396111675</v>
      </c>
      <c r="W257" s="729">
        <v>1045.2340465432344</v>
      </c>
      <c r="X257" s="729">
        <v>1134.1635748444482</v>
      </c>
      <c r="Y257" s="729">
        <v>1181.245856535455</v>
      </c>
      <c r="Z257" s="729">
        <v>1236.2890384734546</v>
      </c>
      <c r="AA257" s="729">
        <v>1367.7397502452311</v>
      </c>
      <c r="AB257" s="729">
        <v>1523.1230933689187</v>
      </c>
      <c r="AC257" s="729">
        <v>1560.159271134308</v>
      </c>
    </row>
    <row r="258" spans="1:29" x14ac:dyDescent="0.2">
      <c r="A258" s="704">
        <v>2122</v>
      </c>
      <c r="B258" s="704">
        <v>2122</v>
      </c>
      <c r="C258" s="704" t="s">
        <v>577</v>
      </c>
      <c r="D258" s="704" t="s">
        <v>526</v>
      </c>
      <c r="E258" s="704">
        <v>1</v>
      </c>
      <c r="F258" s="704">
        <v>100</v>
      </c>
      <c r="H258">
        <f t="shared" si="70"/>
        <v>2122</v>
      </c>
      <c r="I258" t="str">
        <f t="shared" si="71"/>
        <v>Greater Sydney</v>
      </c>
      <c r="O258" s="704" t="s">
        <v>531</v>
      </c>
      <c r="P258" s="729"/>
      <c r="Q258" s="729"/>
      <c r="R258" s="729">
        <v>834.96524630464501</v>
      </c>
      <c r="S258" s="729">
        <v>858.96961743338704</v>
      </c>
      <c r="T258" s="729">
        <v>902.61696009626962</v>
      </c>
      <c r="U258" s="729">
        <v>962.89529168833565</v>
      </c>
      <c r="V258" s="729">
        <v>1050.4396314863461</v>
      </c>
      <c r="W258" s="729">
        <v>1124.7488451830916</v>
      </c>
      <c r="X258" s="729">
        <v>1214.024882175672</v>
      </c>
      <c r="Y258" s="729">
        <v>1261.290609851377</v>
      </c>
      <c r="Z258" s="729">
        <v>1316.548261459176</v>
      </c>
      <c r="AA258" s="729">
        <v>1448.5111546683395</v>
      </c>
      <c r="AB258" s="729">
        <v>1604.4999326023265</v>
      </c>
      <c r="AC258" s="729">
        <v>1641.6804215669406</v>
      </c>
    </row>
    <row r="259" spans="1:29" x14ac:dyDescent="0.2">
      <c r="A259" s="704">
        <v>2123</v>
      </c>
      <c r="B259" s="704">
        <v>2123</v>
      </c>
      <c r="C259" s="704" t="s">
        <v>577</v>
      </c>
      <c r="D259" s="704" t="s">
        <v>526</v>
      </c>
      <c r="E259" s="704">
        <v>1</v>
      </c>
      <c r="F259" s="704">
        <v>100</v>
      </c>
      <c r="H259">
        <f t="shared" si="70"/>
        <v>2123</v>
      </c>
      <c r="I259" t="str">
        <f t="shared" si="71"/>
        <v>Greater Sydney</v>
      </c>
      <c r="O259" s="704" t="s">
        <v>534</v>
      </c>
      <c r="P259" s="729"/>
      <c r="Q259" s="729"/>
      <c r="R259" s="729"/>
      <c r="S259" s="729">
        <v>928.11862247918259</v>
      </c>
      <c r="T259" s="729">
        <v>971.91443633715187</v>
      </c>
      <c r="U259" s="729">
        <v>1032.3978142233423</v>
      </c>
      <c r="V259" s="729">
        <v>1120.2399491258152</v>
      </c>
      <c r="W259" s="729">
        <v>1194.8019352092338</v>
      </c>
      <c r="X259" s="729">
        <v>1284.3816557845389</v>
      </c>
      <c r="Y259" s="729">
        <v>1331.8081644313481</v>
      </c>
      <c r="Z259" s="729">
        <v>1387.2537835163803</v>
      </c>
      <c r="AA259" s="729">
        <v>1519.6655698255158</v>
      </c>
      <c r="AB259" s="729">
        <v>1676.1849614065748</v>
      </c>
      <c r="AC259" s="729">
        <v>1713.4919251916208</v>
      </c>
    </row>
    <row r="260" spans="1:29" x14ac:dyDescent="0.2">
      <c r="A260" s="704">
        <v>2125</v>
      </c>
      <c r="B260" s="704">
        <v>2125</v>
      </c>
      <c r="C260" s="704" t="s">
        <v>577</v>
      </c>
      <c r="D260" s="704" t="s">
        <v>526</v>
      </c>
      <c r="E260" s="704">
        <v>1</v>
      </c>
      <c r="F260" s="704">
        <v>100</v>
      </c>
      <c r="H260">
        <f t="shared" si="70"/>
        <v>2125</v>
      </c>
      <c r="I260" t="str">
        <f t="shared" si="71"/>
        <v>Greater Sydney</v>
      </c>
      <c r="O260" s="704"/>
      <c r="P260" s="729"/>
      <c r="Q260" s="729"/>
      <c r="R260" s="729"/>
      <c r="S260" s="729"/>
      <c r="T260" s="729"/>
      <c r="U260" s="729"/>
      <c r="V260" s="729"/>
      <c r="W260" s="729"/>
      <c r="X260" s="729"/>
      <c r="Y260" s="729"/>
      <c r="Z260" s="729"/>
      <c r="AA260" s="729"/>
      <c r="AB260" s="729"/>
      <c r="AC260" s="729"/>
    </row>
    <row r="261" spans="1:29" x14ac:dyDescent="0.2">
      <c r="A261" s="704">
        <v>2126</v>
      </c>
      <c r="B261" s="704">
        <v>2126</v>
      </c>
      <c r="C261" s="704" t="s">
        <v>577</v>
      </c>
      <c r="D261" s="704" t="s">
        <v>526</v>
      </c>
      <c r="E261" s="704">
        <v>1</v>
      </c>
      <c r="F261" s="704">
        <v>100</v>
      </c>
      <c r="H261">
        <f t="shared" si="70"/>
        <v>2126</v>
      </c>
      <c r="I261" t="str">
        <f t="shared" si="71"/>
        <v>Greater Sydney</v>
      </c>
      <c r="O261" s="704" t="s">
        <v>535</v>
      </c>
      <c r="P261" s="729">
        <v>341.76926489123122</v>
      </c>
      <c r="Q261" s="729">
        <v>358.91052019863707</v>
      </c>
      <c r="R261" s="729">
        <v>375.05884525169688</v>
      </c>
      <c r="S261" s="729">
        <v>398.76262728996795</v>
      </c>
      <c r="T261" s="729">
        <v>441.86340810812942</v>
      </c>
      <c r="U261" s="729">
        <v>501.38692228489555</v>
      </c>
      <c r="V261" s="729">
        <v>587.8350122656143</v>
      </c>
      <c r="W261" s="729">
        <v>661.21370940407735</v>
      </c>
      <c r="X261" s="729">
        <v>749.371810199994</v>
      </c>
      <c r="Y261" s="729">
        <v>796.04566766108678</v>
      </c>
      <c r="Z261" s="729">
        <v>850.61137019144724</v>
      </c>
      <c r="AA261" s="729">
        <v>980.92179437096297</v>
      </c>
      <c r="AB261" s="729">
        <v>1134.9572445130325</v>
      </c>
      <c r="AC261" s="729">
        <v>1171.6721509163719</v>
      </c>
    </row>
    <row r="262" spans="1:29" x14ac:dyDescent="0.2">
      <c r="A262" s="704">
        <v>2127</v>
      </c>
      <c r="B262" s="704">
        <v>2127</v>
      </c>
      <c r="C262" s="704" t="s">
        <v>577</v>
      </c>
      <c r="D262" s="704" t="s">
        <v>526</v>
      </c>
      <c r="E262" s="704">
        <v>0.99043000000000003</v>
      </c>
      <c r="F262" s="704">
        <v>99.043000000000006</v>
      </c>
      <c r="H262">
        <f t="shared" si="70"/>
        <v>2127</v>
      </c>
      <c r="I262" t="str">
        <f t="shared" si="71"/>
        <v>Greater Sydney</v>
      </c>
      <c r="O262" s="704" t="s">
        <v>542</v>
      </c>
      <c r="P262" s="729"/>
      <c r="Q262" s="729">
        <v>458.33238064726635</v>
      </c>
      <c r="R262" s="729">
        <v>474.3801698857315</v>
      </c>
      <c r="S262" s="729">
        <v>497.9363786374393</v>
      </c>
      <c r="T262" s="729">
        <v>540.76882416962951</v>
      </c>
      <c r="U262" s="729">
        <v>599.92175825152401</v>
      </c>
      <c r="V262" s="729">
        <v>685.83164276227706</v>
      </c>
      <c r="W262" s="729">
        <v>758.75350247972403</v>
      </c>
      <c r="X262" s="729">
        <v>846.36275104187143</v>
      </c>
      <c r="Y262" s="729">
        <v>892.74603102929268</v>
      </c>
      <c r="Z262" s="729">
        <v>946.97201744471954</v>
      </c>
      <c r="AA262" s="729">
        <v>1076.4711643738469</v>
      </c>
      <c r="AB262" s="729">
        <v>1229.5476257771418</v>
      </c>
      <c r="AC262" s="729">
        <v>1266.0339512356693</v>
      </c>
    </row>
    <row r="263" spans="1:29" x14ac:dyDescent="0.2">
      <c r="A263" s="704">
        <v>2128</v>
      </c>
      <c r="B263" s="704">
        <v>2128</v>
      </c>
      <c r="C263" s="704" t="s">
        <v>577</v>
      </c>
      <c r="D263" s="704" t="s">
        <v>526</v>
      </c>
      <c r="E263" s="704">
        <v>1</v>
      </c>
      <c r="F263" s="704">
        <v>100</v>
      </c>
      <c r="H263">
        <f t="shared" si="70"/>
        <v>2128</v>
      </c>
      <c r="I263" t="str">
        <f t="shared" si="71"/>
        <v>Greater Sydney</v>
      </c>
      <c r="O263" s="704" t="s">
        <v>545</v>
      </c>
      <c r="P263" s="729"/>
      <c r="Q263" s="729">
        <v>576.10128870144149</v>
      </c>
      <c r="R263" s="729">
        <v>592.16033946995083</v>
      </c>
      <c r="S263" s="729">
        <v>615.73308849493719</v>
      </c>
      <c r="T263" s="729">
        <v>658.59560330129932</v>
      </c>
      <c r="U263" s="729">
        <v>717.79006123162071</v>
      </c>
      <c r="V263" s="729">
        <v>803.76025506386168</v>
      </c>
      <c r="W263" s="729">
        <v>876.73330617224713</v>
      </c>
      <c r="X263" s="729">
        <v>964.40405856962491</v>
      </c>
      <c r="Y263" s="729">
        <v>1010.8198972651489</v>
      </c>
      <c r="Z263" s="729">
        <v>1065.0839552963739</v>
      </c>
      <c r="AA263" s="729">
        <v>1194.6740044579915</v>
      </c>
      <c r="AB263" s="729">
        <v>1347.8579280846359</v>
      </c>
      <c r="AC263" s="729">
        <v>1384.3698717865286</v>
      </c>
    </row>
    <row r="264" spans="1:29" x14ac:dyDescent="0.2">
      <c r="A264" s="704">
        <v>2129</v>
      </c>
      <c r="B264" s="704">
        <v>2129</v>
      </c>
      <c r="C264" s="704" t="s">
        <v>577</v>
      </c>
      <c r="D264" s="704" t="s">
        <v>526</v>
      </c>
      <c r="E264" s="704">
        <v>1</v>
      </c>
      <c r="F264" s="704">
        <v>100</v>
      </c>
      <c r="H264">
        <f t="shared" si="70"/>
        <v>2129</v>
      </c>
      <c r="I264" t="str">
        <f t="shared" si="71"/>
        <v>Greater Sydney</v>
      </c>
      <c r="O264" s="704" t="s">
        <v>548</v>
      </c>
      <c r="P264" s="729"/>
      <c r="Q264" s="729"/>
      <c r="R264" s="729">
        <v>709.94050905417021</v>
      </c>
      <c r="S264" s="729">
        <v>733.52979835243514</v>
      </c>
      <c r="T264" s="729">
        <v>776.42238243296913</v>
      </c>
      <c r="U264" s="729">
        <v>835.65836421171741</v>
      </c>
      <c r="V264" s="729">
        <v>921.6888673654463</v>
      </c>
      <c r="W264" s="729">
        <v>994.71310986477022</v>
      </c>
      <c r="X264" s="729">
        <v>1082.4453660973784</v>
      </c>
      <c r="Y264" s="729">
        <v>1128.8937635010052</v>
      </c>
      <c r="Z264" s="729">
        <v>1183.1958931480283</v>
      </c>
      <c r="AA264" s="729">
        <v>1312.876844542136</v>
      </c>
      <c r="AB264" s="729">
        <v>1466.16823039213</v>
      </c>
      <c r="AC264" s="729">
        <v>1502.7057923373879</v>
      </c>
    </row>
    <row r="265" spans="1:29" x14ac:dyDescent="0.2">
      <c r="A265" s="704">
        <v>2130</v>
      </c>
      <c r="B265" s="704">
        <v>2130</v>
      </c>
      <c r="C265" s="704" t="s">
        <v>577</v>
      </c>
      <c r="D265" s="704" t="s">
        <v>526</v>
      </c>
      <c r="E265" s="704">
        <v>1</v>
      </c>
      <c r="F265" s="704">
        <v>100</v>
      </c>
      <c r="H265">
        <f t="shared" si="70"/>
        <v>2130</v>
      </c>
      <c r="I265" t="str">
        <f t="shared" si="71"/>
        <v>Greater Sydney</v>
      </c>
      <c r="O265" s="704"/>
      <c r="P265" s="729"/>
      <c r="Q265" s="729"/>
      <c r="R265" s="729"/>
      <c r="S265" s="729"/>
      <c r="T265" s="729"/>
      <c r="U265" s="729"/>
      <c r="V265" s="729"/>
      <c r="W265" s="729"/>
      <c r="X265" s="729"/>
      <c r="Y265" s="729"/>
      <c r="Z265" s="729"/>
      <c r="AA265" s="729"/>
      <c r="AB265" s="729"/>
      <c r="AC265" s="729"/>
    </row>
    <row r="266" spans="1:29" x14ac:dyDescent="0.2">
      <c r="A266" s="704">
        <v>2131</v>
      </c>
      <c r="B266" s="704">
        <v>2131</v>
      </c>
      <c r="C266" s="704" t="s">
        <v>577</v>
      </c>
      <c r="D266" s="704" t="s">
        <v>526</v>
      </c>
      <c r="E266" s="704">
        <v>1</v>
      </c>
      <c r="F266" s="704">
        <v>100</v>
      </c>
      <c r="H266">
        <f t="shared" si="70"/>
        <v>2131</v>
      </c>
      <c r="I266" t="str">
        <f t="shared" si="71"/>
        <v>Greater Sydney</v>
      </c>
      <c r="O266" s="704"/>
      <c r="P266" s="729"/>
      <c r="Q266" s="729"/>
      <c r="R266" s="729"/>
      <c r="S266" s="729"/>
      <c r="T266" s="729"/>
      <c r="U266" s="729"/>
      <c r="V266" s="729"/>
      <c r="W266" s="729"/>
      <c r="X266" s="729"/>
      <c r="Y266" s="729"/>
      <c r="Z266" s="729"/>
      <c r="AA266" s="729"/>
      <c r="AB266" s="729"/>
      <c r="AC266" s="729"/>
    </row>
    <row r="267" spans="1:29" ht="28.5" x14ac:dyDescent="0.45">
      <c r="A267" s="704">
        <v>2132</v>
      </c>
      <c r="B267" s="704">
        <v>2132</v>
      </c>
      <c r="C267" s="704" t="s">
        <v>577</v>
      </c>
      <c r="D267" s="704" t="s">
        <v>526</v>
      </c>
      <c r="E267" s="704">
        <v>1</v>
      </c>
      <c r="F267" s="704">
        <v>100</v>
      </c>
      <c r="H267">
        <f t="shared" si="70"/>
        <v>2132</v>
      </c>
      <c r="I267" t="str">
        <f t="shared" si="71"/>
        <v>Greater Sydney</v>
      </c>
      <c r="O267" s="705" t="s">
        <v>497</v>
      </c>
      <c r="P267" s="729"/>
      <c r="Q267" s="729"/>
      <c r="R267" s="729"/>
      <c r="S267" s="729"/>
      <c r="T267" s="729"/>
      <c r="U267" s="729"/>
      <c r="V267" s="729"/>
      <c r="W267" s="729"/>
      <c r="X267" s="729"/>
      <c r="Y267" s="729"/>
      <c r="Z267" s="729"/>
      <c r="AA267" s="729"/>
      <c r="AB267" s="729"/>
      <c r="AC267" s="729"/>
    </row>
    <row r="268" spans="1:29" x14ac:dyDescent="0.2">
      <c r="A268" s="704">
        <v>2133</v>
      </c>
      <c r="B268" s="704">
        <v>2133</v>
      </c>
      <c r="C268" s="704" t="s">
        <v>577</v>
      </c>
      <c r="D268" s="704" t="s">
        <v>526</v>
      </c>
      <c r="E268" s="704">
        <v>1</v>
      </c>
      <c r="F268" s="704">
        <v>100</v>
      </c>
      <c r="H268">
        <f t="shared" si="70"/>
        <v>2133</v>
      </c>
      <c r="I268" t="str">
        <f t="shared" si="71"/>
        <v>Greater Sydney</v>
      </c>
      <c r="O268" s="704" t="s">
        <v>524</v>
      </c>
      <c r="P268" s="729"/>
      <c r="Q268" s="729">
        <v>639.00311474824684</v>
      </c>
      <c r="R268" s="729">
        <v>655.30821827977832</v>
      </c>
      <c r="S268" s="729">
        <v>679.24213394373191</v>
      </c>
      <c r="T268" s="729">
        <v>722.76136734619229</v>
      </c>
      <c r="U268" s="729">
        <v>782.86277627396237</v>
      </c>
      <c r="V268" s="729">
        <v>870.15016494314034</v>
      </c>
      <c r="W268" s="729">
        <v>944.24127364366586</v>
      </c>
      <c r="X268" s="729">
        <v>1033.2552749268702</v>
      </c>
      <c r="Y268" s="729">
        <v>1080.3822742122229</v>
      </c>
      <c r="Z268" s="729">
        <v>1135.477738782256</v>
      </c>
      <c r="AA268" s="729">
        <v>1267.053307596487</v>
      </c>
      <c r="AB268" s="729">
        <v>1422.5842416174812</v>
      </c>
      <c r="AC268" s="729">
        <v>1459.6556005282434</v>
      </c>
    </row>
    <row r="269" spans="1:29" x14ac:dyDescent="0.2">
      <c r="A269" s="704">
        <v>2134</v>
      </c>
      <c r="B269" s="704">
        <v>2134</v>
      </c>
      <c r="C269" s="704" t="s">
        <v>577</v>
      </c>
      <c r="D269" s="704" t="s">
        <v>526</v>
      </c>
      <c r="E269" s="704">
        <v>1</v>
      </c>
      <c r="F269" s="704">
        <v>100</v>
      </c>
      <c r="H269">
        <f t="shared" si="70"/>
        <v>2134</v>
      </c>
      <c r="I269" t="str">
        <f t="shared" si="71"/>
        <v>Greater Sydney</v>
      </c>
      <c r="O269" s="704" t="s">
        <v>527</v>
      </c>
      <c r="P269" s="729"/>
      <c r="Q269" s="729"/>
      <c r="R269" s="729">
        <v>749.96234564117026</v>
      </c>
      <c r="S269" s="729">
        <v>773.87354704934353</v>
      </c>
      <c r="T269" s="729">
        <v>817.35148235026247</v>
      </c>
      <c r="U269" s="729">
        <v>877.39586158417717</v>
      </c>
      <c r="V269" s="729">
        <v>964.60041834389438</v>
      </c>
      <c r="W269" s="729">
        <v>1038.6212200776774</v>
      </c>
      <c r="X269" s="729">
        <v>1127.550749900043</v>
      </c>
      <c r="Y269" s="729">
        <v>1174.6330323516256</v>
      </c>
      <c r="Z269" s="729">
        <v>1229.676211481345</v>
      </c>
      <c r="AA269" s="729">
        <v>1361.1269243939848</v>
      </c>
      <c r="AB269" s="729">
        <v>1516.5102675176731</v>
      </c>
      <c r="AC269" s="729">
        <v>1553.5464448735215</v>
      </c>
    </row>
    <row r="270" spans="1:29" x14ac:dyDescent="0.2">
      <c r="A270" s="704">
        <v>2135</v>
      </c>
      <c r="B270" s="704">
        <v>2135</v>
      </c>
      <c r="C270" s="704" t="s">
        <v>577</v>
      </c>
      <c r="D270" s="704" t="s">
        <v>526</v>
      </c>
      <c r="E270" s="704">
        <v>1</v>
      </c>
      <c r="F270" s="704">
        <v>100</v>
      </c>
      <c r="H270">
        <f t="shared" si="70"/>
        <v>2135</v>
      </c>
      <c r="I270" t="str">
        <f t="shared" si="71"/>
        <v>Greater Sydney</v>
      </c>
      <c r="O270" s="704" t="s">
        <v>531</v>
      </c>
      <c r="P270" s="729"/>
      <c r="Q270" s="729"/>
      <c r="R270" s="729">
        <v>828.32665425544269</v>
      </c>
      <c r="S270" s="729">
        <v>852.33102602818587</v>
      </c>
      <c r="T270" s="729">
        <v>895.97836782885224</v>
      </c>
      <c r="U270" s="729">
        <v>956.25669982541456</v>
      </c>
      <c r="V270" s="729">
        <v>1043.8010399640536</v>
      </c>
      <c r="W270" s="729">
        <v>1118.1102528518063</v>
      </c>
      <c r="X270" s="729">
        <v>1207.3862901424366</v>
      </c>
      <c r="Y270" s="729">
        <v>1254.6520186910027</v>
      </c>
      <c r="Z270" s="729">
        <v>1309.9096704265376</v>
      </c>
      <c r="AA270" s="729">
        <v>1441.8725630821791</v>
      </c>
      <c r="AB270" s="729">
        <v>1597.8613389723944</v>
      </c>
      <c r="AC270" s="729">
        <v>1635.0418285756871</v>
      </c>
    </row>
    <row r="271" spans="1:29" x14ac:dyDescent="0.2">
      <c r="A271" s="704">
        <v>2136</v>
      </c>
      <c r="B271" s="704">
        <v>2136</v>
      </c>
      <c r="C271" s="704" t="s">
        <v>577</v>
      </c>
      <c r="D271" s="704" t="s">
        <v>526</v>
      </c>
      <c r="E271" s="704">
        <v>1</v>
      </c>
      <c r="F271" s="704">
        <v>100</v>
      </c>
      <c r="H271">
        <f t="shared" si="70"/>
        <v>2136</v>
      </c>
      <c r="I271" t="str">
        <f t="shared" si="71"/>
        <v>Greater Sydney</v>
      </c>
      <c r="O271" s="704" t="s">
        <v>534</v>
      </c>
      <c r="P271" s="729"/>
      <c r="Q271" s="729"/>
      <c r="R271" s="729"/>
      <c r="S271" s="729">
        <v>921.45744709241728</v>
      </c>
      <c r="T271" s="729">
        <v>965.25326261394673</v>
      </c>
      <c r="U271" s="729">
        <v>1025.7366397705052</v>
      </c>
      <c r="V271" s="729">
        <v>1113.5787749356457</v>
      </c>
      <c r="W271" s="729">
        <v>1188.1407620113637</v>
      </c>
      <c r="X271" s="729">
        <v>1277.720484279414</v>
      </c>
      <c r="Y271" s="729">
        <v>1325.1469926927412</v>
      </c>
      <c r="Z271" s="729">
        <v>1380.5926102017686</v>
      </c>
      <c r="AA271" s="729">
        <v>1513.0043940593414</v>
      </c>
      <c r="AB271" s="729">
        <v>1669.5237894928562</v>
      </c>
      <c r="AC271" s="729">
        <v>1706.830752927679</v>
      </c>
    </row>
    <row r="272" spans="1:29" x14ac:dyDescent="0.2">
      <c r="A272" s="704">
        <v>2137</v>
      </c>
      <c r="B272" s="704">
        <v>2137</v>
      </c>
      <c r="C272" s="704" t="s">
        <v>577</v>
      </c>
      <c r="D272" s="704" t="s">
        <v>526</v>
      </c>
      <c r="E272" s="704">
        <v>0.99332900000000002</v>
      </c>
      <c r="F272" s="704">
        <v>99.332899999999995</v>
      </c>
      <c r="H272">
        <f t="shared" si="70"/>
        <v>2137</v>
      </c>
      <c r="I272" t="str">
        <f t="shared" si="71"/>
        <v>Greater Sydney</v>
      </c>
      <c r="O272" s="704"/>
      <c r="P272" s="729"/>
      <c r="Q272" s="729"/>
      <c r="R272" s="729"/>
      <c r="S272" s="729"/>
      <c r="T272" s="729"/>
      <c r="U272" s="729"/>
      <c r="V272" s="729"/>
      <c r="W272" s="729"/>
      <c r="X272" s="729"/>
      <c r="Y272" s="729"/>
      <c r="Z272" s="729"/>
      <c r="AA272" s="729"/>
      <c r="AB272" s="729"/>
      <c r="AC272" s="729"/>
    </row>
    <row r="273" spans="1:29" x14ac:dyDescent="0.2">
      <c r="A273" s="704">
        <v>2138</v>
      </c>
      <c r="B273" s="704">
        <v>2138</v>
      </c>
      <c r="C273" s="704" t="s">
        <v>577</v>
      </c>
      <c r="D273" s="704" t="s">
        <v>526</v>
      </c>
      <c r="E273" s="704">
        <v>0.97234799999999999</v>
      </c>
      <c r="F273" s="704">
        <v>97.234800000000007</v>
      </c>
      <c r="H273">
        <f t="shared" si="70"/>
        <v>2138</v>
      </c>
      <c r="I273" t="str">
        <f t="shared" si="71"/>
        <v>Greater Sydney</v>
      </c>
      <c r="O273" s="704" t="s">
        <v>535</v>
      </c>
      <c r="P273" s="729">
        <v>335.21380296192342</v>
      </c>
      <c r="Q273" s="729">
        <v>352.35505789497245</v>
      </c>
      <c r="R273" s="729">
        <v>368.50338261024626</v>
      </c>
      <c r="S273" s="729">
        <v>392.20716523448539</v>
      </c>
      <c r="T273" s="729">
        <v>435.30794597596253</v>
      </c>
      <c r="U273" s="729">
        <v>494.83146009271485</v>
      </c>
      <c r="V273" s="729">
        <v>581.27954957498559</v>
      </c>
      <c r="W273" s="729">
        <v>654.65824767366939</v>
      </c>
      <c r="X273" s="729">
        <v>742.8163480061462</v>
      </c>
      <c r="Y273" s="729">
        <v>789.49020583399022</v>
      </c>
      <c r="Z273" s="729">
        <v>844.05590833767769</v>
      </c>
      <c r="AA273" s="729">
        <v>974.36633301730819</v>
      </c>
      <c r="AB273" s="729">
        <v>1128.4017827659541</v>
      </c>
      <c r="AC273" s="729">
        <v>1165.1166887558652</v>
      </c>
    </row>
    <row r="274" spans="1:29" x14ac:dyDescent="0.2">
      <c r="A274" s="704">
        <v>2139</v>
      </c>
      <c r="B274" s="704">
        <v>2139</v>
      </c>
      <c r="C274" s="704" t="s">
        <v>577</v>
      </c>
      <c r="D274" s="704" t="s">
        <v>526</v>
      </c>
      <c r="E274" s="704">
        <v>0.99284799999999995</v>
      </c>
      <c r="F274" s="704">
        <v>99.284800000000004</v>
      </c>
      <c r="H274">
        <f t="shared" si="70"/>
        <v>2139</v>
      </c>
      <c r="I274" t="str">
        <f t="shared" si="71"/>
        <v>Greater Sydney</v>
      </c>
      <c r="O274" s="704" t="s">
        <v>542</v>
      </c>
      <c r="P274" s="729"/>
      <c r="Q274" s="729">
        <v>451.81773121662815</v>
      </c>
      <c r="R274" s="729">
        <v>467.86552133955945</v>
      </c>
      <c r="S274" s="729">
        <v>491.42172930507513</v>
      </c>
      <c r="T274" s="729">
        <v>534.25417458175298</v>
      </c>
      <c r="U274" s="729">
        <v>593.40710913536259</v>
      </c>
      <c r="V274" s="729">
        <v>679.3169941571407</v>
      </c>
      <c r="W274" s="729">
        <v>752.23885179117838</v>
      </c>
      <c r="X274" s="729">
        <v>839.84810176847157</v>
      </c>
      <c r="Y274" s="729">
        <v>886.23138277794271</v>
      </c>
      <c r="Z274" s="729">
        <v>940.45736809270045</v>
      </c>
      <c r="AA274" s="729">
        <v>1069.9565134494435</v>
      </c>
      <c r="AB274" s="729">
        <v>1223.0329770540766</v>
      </c>
      <c r="AC274" s="729">
        <v>1259.5193031415577</v>
      </c>
    </row>
    <row r="275" spans="1:29" x14ac:dyDescent="0.2">
      <c r="A275" s="704">
        <v>2140</v>
      </c>
      <c r="B275" s="704">
        <v>2140</v>
      </c>
      <c r="C275" s="704" t="s">
        <v>577</v>
      </c>
      <c r="D275" s="704" t="s">
        <v>526</v>
      </c>
      <c r="E275" s="704">
        <v>1</v>
      </c>
      <c r="F275" s="704">
        <v>100</v>
      </c>
      <c r="H275">
        <f t="shared" si="70"/>
        <v>2140</v>
      </c>
      <c r="I275" t="str">
        <f t="shared" si="71"/>
        <v>Greater Sydney</v>
      </c>
      <c r="O275" s="704" t="s">
        <v>545</v>
      </c>
      <c r="P275" s="729"/>
      <c r="Q275" s="729">
        <v>569.58206596217531</v>
      </c>
      <c r="R275" s="729">
        <v>585.64111775638128</v>
      </c>
      <c r="S275" s="729">
        <v>609.21386575567101</v>
      </c>
      <c r="T275" s="729">
        <v>652.07638108680828</v>
      </c>
      <c r="U275" s="729">
        <v>711.27083882630234</v>
      </c>
      <c r="V275" s="729">
        <v>797.24103246771608</v>
      </c>
      <c r="W275" s="729">
        <v>870.21408290820591</v>
      </c>
      <c r="X275" s="729">
        <v>957.88483492392913</v>
      </c>
      <c r="Y275" s="729">
        <v>1004.3006740011078</v>
      </c>
      <c r="Z275" s="729">
        <v>1058.564732509401</v>
      </c>
      <c r="AA275" s="729">
        <v>1188.1547792856773</v>
      </c>
      <c r="AB275" s="729">
        <v>1341.3387032939768</v>
      </c>
      <c r="AC275" s="729">
        <v>1377.8506460417327</v>
      </c>
    </row>
    <row r="276" spans="1:29" x14ac:dyDescent="0.2">
      <c r="A276" s="704">
        <v>2141</v>
      </c>
      <c r="B276" s="704">
        <v>2141</v>
      </c>
      <c r="C276" s="704" t="s">
        <v>577</v>
      </c>
      <c r="D276" s="704" t="s">
        <v>526</v>
      </c>
      <c r="E276" s="704">
        <v>1</v>
      </c>
      <c r="F276" s="704">
        <v>100</v>
      </c>
      <c r="H276">
        <f t="shared" si="70"/>
        <v>2141</v>
      </c>
      <c r="I276" t="str">
        <f t="shared" si="71"/>
        <v>Greater Sydney</v>
      </c>
      <c r="O276" s="704" t="s">
        <v>548</v>
      </c>
      <c r="P276" s="729"/>
      <c r="Q276" s="729"/>
      <c r="R276" s="729">
        <v>703.4167141732031</v>
      </c>
      <c r="S276" s="729">
        <v>727.00600220626688</v>
      </c>
      <c r="T276" s="729">
        <v>769.89858759186359</v>
      </c>
      <c r="U276" s="729">
        <v>829.13456851724209</v>
      </c>
      <c r="V276" s="729">
        <v>915.16507077829147</v>
      </c>
      <c r="W276" s="729">
        <v>988.18931402523344</v>
      </c>
      <c r="X276" s="729">
        <v>1075.9215680793868</v>
      </c>
      <c r="Y276" s="729">
        <v>1122.3699652242731</v>
      </c>
      <c r="Z276" s="729">
        <v>1176.6720969261014</v>
      </c>
      <c r="AA276" s="729">
        <v>1306.353045121911</v>
      </c>
      <c r="AB276" s="729">
        <v>1459.644429533877</v>
      </c>
      <c r="AC276" s="729">
        <v>1496.1819889419078</v>
      </c>
    </row>
    <row r="277" spans="1:29" x14ac:dyDescent="0.2">
      <c r="A277" s="704">
        <v>2142</v>
      </c>
      <c r="B277" s="704">
        <v>2142</v>
      </c>
      <c r="C277" s="704" t="s">
        <v>577</v>
      </c>
      <c r="D277" s="704" t="s">
        <v>526</v>
      </c>
      <c r="E277" s="704">
        <v>1</v>
      </c>
      <c r="F277" s="704">
        <v>100</v>
      </c>
      <c r="H277">
        <f t="shared" si="70"/>
        <v>2142</v>
      </c>
      <c r="I277" t="str">
        <f t="shared" si="71"/>
        <v>Greater Sydney</v>
      </c>
      <c r="O277" s="704"/>
      <c r="P277" s="729"/>
      <c r="Q277" s="729"/>
      <c r="R277" s="729"/>
      <c r="S277" s="729"/>
      <c r="T277" s="729"/>
      <c r="U277" s="729"/>
      <c r="V277" s="729"/>
      <c r="W277" s="729"/>
      <c r="X277" s="729"/>
      <c r="Y277" s="729"/>
      <c r="Z277" s="729"/>
      <c r="AA277" s="729"/>
      <c r="AB277" s="729"/>
      <c r="AC277" s="729"/>
    </row>
    <row r="278" spans="1:29" x14ac:dyDescent="0.2">
      <c r="A278" s="704">
        <v>2143</v>
      </c>
      <c r="B278" s="704">
        <v>2143</v>
      </c>
      <c r="C278" s="704" t="s">
        <v>577</v>
      </c>
      <c r="D278" s="704" t="s">
        <v>526</v>
      </c>
      <c r="E278" s="704">
        <v>1</v>
      </c>
      <c r="F278" s="704">
        <v>100</v>
      </c>
      <c r="H278">
        <f t="shared" si="70"/>
        <v>2143</v>
      </c>
      <c r="I278" t="str">
        <f t="shared" si="71"/>
        <v>Greater Sydney</v>
      </c>
      <c r="O278" s="704"/>
      <c r="P278" s="729"/>
      <c r="Q278" s="729"/>
      <c r="R278" s="729"/>
      <c r="S278" s="729"/>
      <c r="T278" s="729"/>
      <c r="U278" s="729"/>
      <c r="V278" s="729"/>
      <c r="W278" s="729"/>
      <c r="X278" s="729"/>
      <c r="Y278" s="729"/>
      <c r="Z278" s="729"/>
      <c r="AA278" s="729"/>
      <c r="AB278" s="729"/>
      <c r="AC278" s="729"/>
    </row>
    <row r="279" spans="1:29" ht="28.5" x14ac:dyDescent="0.45">
      <c r="A279" s="704">
        <v>2144</v>
      </c>
      <c r="B279" s="704">
        <v>2144</v>
      </c>
      <c r="C279" s="704" t="s">
        <v>577</v>
      </c>
      <c r="D279" s="704" t="s">
        <v>526</v>
      </c>
      <c r="E279" s="704">
        <v>1</v>
      </c>
      <c r="F279" s="704">
        <v>100</v>
      </c>
      <c r="H279">
        <f t="shared" si="70"/>
        <v>2144</v>
      </c>
      <c r="I279" t="str">
        <f t="shared" si="71"/>
        <v>Greater Sydney</v>
      </c>
      <c r="O279" s="705" t="s">
        <v>498</v>
      </c>
      <c r="P279" s="729"/>
      <c r="Q279" s="729"/>
      <c r="R279" s="729"/>
      <c r="S279" s="729"/>
      <c r="T279" s="729"/>
      <c r="U279" s="729"/>
      <c r="V279" s="729"/>
      <c r="W279" s="729"/>
      <c r="X279" s="729"/>
      <c r="Y279" s="729"/>
      <c r="Z279" s="729"/>
      <c r="AA279" s="729"/>
      <c r="AB279" s="729"/>
      <c r="AC279" s="729"/>
    </row>
    <row r="280" spans="1:29" x14ac:dyDescent="0.2">
      <c r="A280" s="704">
        <v>2145</v>
      </c>
      <c r="B280" s="704">
        <v>2145</v>
      </c>
      <c r="C280" s="704" t="s">
        <v>577</v>
      </c>
      <c r="D280" s="704" t="s">
        <v>526</v>
      </c>
      <c r="E280" s="704">
        <v>1</v>
      </c>
      <c r="F280" s="704">
        <v>100</v>
      </c>
      <c r="H280">
        <f t="shared" si="70"/>
        <v>2145</v>
      </c>
      <c r="I280" t="str">
        <f t="shared" si="71"/>
        <v>Greater Sydney</v>
      </c>
      <c r="O280" s="704" t="s">
        <v>524</v>
      </c>
      <c r="P280" s="729"/>
      <c r="Q280" s="729">
        <v>653.56924075782354</v>
      </c>
      <c r="R280" s="729">
        <v>669.87434496180617</v>
      </c>
      <c r="S280" s="729">
        <v>693.80826000515322</v>
      </c>
      <c r="T280" s="729">
        <v>737.32749264214749</v>
      </c>
      <c r="U280" s="729">
        <v>797.42890282637961</v>
      </c>
      <c r="V280" s="729">
        <v>884.7162919713054</v>
      </c>
      <c r="W280" s="729">
        <v>958.80740020218252</v>
      </c>
      <c r="X280" s="729">
        <v>1047.8214007595664</v>
      </c>
      <c r="Y280" s="729">
        <v>1094.9484009354214</v>
      </c>
      <c r="Z280" s="729">
        <v>1150.0438658958115</v>
      </c>
      <c r="AA280" s="729">
        <v>1281.6194339110302</v>
      </c>
      <c r="AB280" s="729">
        <v>1437.1503676392567</v>
      </c>
      <c r="AC280" s="729">
        <v>1474.2217274161237</v>
      </c>
    </row>
    <row r="281" spans="1:29" x14ac:dyDescent="0.2">
      <c r="A281" s="704">
        <v>2146</v>
      </c>
      <c r="B281" s="704">
        <v>2146</v>
      </c>
      <c r="C281" s="704" t="s">
        <v>577</v>
      </c>
      <c r="D281" s="704" t="s">
        <v>526</v>
      </c>
      <c r="E281" s="704">
        <v>1</v>
      </c>
      <c r="F281" s="704">
        <v>100</v>
      </c>
      <c r="H281">
        <f t="shared" si="70"/>
        <v>2146</v>
      </c>
      <c r="I281" t="str">
        <f t="shared" si="71"/>
        <v>Greater Sydney</v>
      </c>
      <c r="O281" s="704" t="s">
        <v>527</v>
      </c>
      <c r="P281" s="729"/>
      <c r="Q281" s="729"/>
      <c r="R281" s="729">
        <v>764.51464921128593</v>
      </c>
      <c r="S281" s="729">
        <v>788.42585224299648</v>
      </c>
      <c r="T281" s="729">
        <v>831.90378741227721</v>
      </c>
      <c r="U281" s="729">
        <v>891.94816609038639</v>
      </c>
      <c r="V281" s="729">
        <v>979.15272165073384</v>
      </c>
      <c r="W281" s="729">
        <v>1053.1735234430228</v>
      </c>
      <c r="X281" s="729">
        <v>1142.1030524170535</v>
      </c>
      <c r="Y281" s="729">
        <v>1189.1853336107606</v>
      </c>
      <c r="Z281" s="729">
        <v>1244.2285179474995</v>
      </c>
      <c r="AA281" s="729">
        <v>1375.6792257701318</v>
      </c>
      <c r="AB281" s="729">
        <v>1531.062568425773</v>
      </c>
      <c r="AC281" s="729">
        <v>1568.0987530948516</v>
      </c>
    </row>
    <row r="282" spans="1:29" x14ac:dyDescent="0.2">
      <c r="A282" s="704">
        <v>2147</v>
      </c>
      <c r="B282" s="704">
        <v>2147</v>
      </c>
      <c r="C282" s="704" t="s">
        <v>577</v>
      </c>
      <c r="D282" s="704" t="s">
        <v>526</v>
      </c>
      <c r="E282" s="704">
        <v>1</v>
      </c>
      <c r="F282" s="704">
        <v>100</v>
      </c>
      <c r="H282">
        <f t="shared" si="70"/>
        <v>2147</v>
      </c>
      <c r="I282" t="str">
        <f t="shared" si="71"/>
        <v>Greater Sydney</v>
      </c>
      <c r="O282" s="704" t="s">
        <v>531</v>
      </c>
      <c r="P282" s="729"/>
      <c r="Q282" s="729"/>
      <c r="R282" s="729">
        <v>842.93565865249593</v>
      </c>
      <c r="S282" s="729">
        <v>866.94003026024723</v>
      </c>
      <c r="T282" s="729">
        <v>910.58737262507964</v>
      </c>
      <c r="U282" s="729">
        <v>970.86570441939375</v>
      </c>
      <c r="V282" s="729">
        <v>1058.4100464634248</v>
      </c>
      <c r="W282" s="729">
        <v>1132.7192584996053</v>
      </c>
      <c r="X282" s="729">
        <v>1221.995295023821</v>
      </c>
      <c r="Y282" s="729">
        <v>1269.2610243175125</v>
      </c>
      <c r="Z282" s="729">
        <v>1324.5186757337078</v>
      </c>
      <c r="AA282" s="729">
        <v>1456.4815681338782</v>
      </c>
      <c r="AB282" s="729">
        <v>1612.4703459827081</v>
      </c>
      <c r="AC282" s="729">
        <v>1649.6508353731083</v>
      </c>
    </row>
    <row r="283" spans="1:29" x14ac:dyDescent="0.2">
      <c r="A283" s="704">
        <v>2148</v>
      </c>
      <c r="B283" s="704">
        <v>2148</v>
      </c>
      <c r="C283" s="704" t="s">
        <v>577</v>
      </c>
      <c r="D283" s="704" t="s">
        <v>526</v>
      </c>
      <c r="E283" s="704">
        <v>1</v>
      </c>
      <c r="F283" s="704">
        <v>100</v>
      </c>
      <c r="H283">
        <f t="shared" si="70"/>
        <v>2148</v>
      </c>
      <c r="I283" t="str">
        <f t="shared" si="71"/>
        <v>Greater Sydney</v>
      </c>
      <c r="O283" s="704" t="s">
        <v>534</v>
      </c>
      <c r="P283" s="729"/>
      <c r="Q283" s="729"/>
      <c r="R283" s="729"/>
      <c r="S283" s="729">
        <v>936.11614822355114</v>
      </c>
      <c r="T283" s="729">
        <v>979.91196412448892</v>
      </c>
      <c r="U283" s="729">
        <v>1040.3953401136366</v>
      </c>
      <c r="V283" s="729">
        <v>1128.2374750744805</v>
      </c>
      <c r="W283" s="729">
        <v>1202.7994603407117</v>
      </c>
      <c r="X283" s="729">
        <v>1292.3791823169095</v>
      </c>
      <c r="Y283" s="729">
        <v>1339.8056938238751</v>
      </c>
      <c r="Z283" s="729">
        <v>1395.2513105157147</v>
      </c>
      <c r="AA283" s="729">
        <v>1527.6630926221721</v>
      </c>
      <c r="AB283" s="729">
        <v>1684.1824866547936</v>
      </c>
      <c r="AC283" s="729">
        <v>1721.4894518407325</v>
      </c>
    </row>
    <row r="284" spans="1:29" x14ac:dyDescent="0.2">
      <c r="A284" s="704">
        <v>2150</v>
      </c>
      <c r="B284" s="704">
        <v>2150</v>
      </c>
      <c r="C284" s="704" t="s">
        <v>577</v>
      </c>
      <c r="D284" s="704" t="s">
        <v>526</v>
      </c>
      <c r="E284" s="704">
        <v>1</v>
      </c>
      <c r="F284" s="704">
        <v>100</v>
      </c>
      <c r="H284">
        <f t="shared" si="70"/>
        <v>2150</v>
      </c>
      <c r="I284" t="str">
        <f t="shared" si="71"/>
        <v>Greater Sydney</v>
      </c>
      <c r="O284" s="704"/>
      <c r="P284" s="729"/>
      <c r="Q284" s="729"/>
      <c r="R284" s="729"/>
      <c r="S284" s="729"/>
      <c r="T284" s="729"/>
      <c r="U284" s="729"/>
      <c r="V284" s="729"/>
      <c r="W284" s="729"/>
      <c r="X284" s="729"/>
      <c r="Y284" s="729"/>
      <c r="Z284" s="729"/>
      <c r="AA284" s="729"/>
      <c r="AB284" s="729"/>
      <c r="AC284" s="729"/>
    </row>
    <row r="285" spans="1:29" x14ac:dyDescent="0.2">
      <c r="A285" s="704">
        <v>2151</v>
      </c>
      <c r="B285" s="704">
        <v>2151</v>
      </c>
      <c r="C285" s="704" t="s">
        <v>577</v>
      </c>
      <c r="D285" s="704" t="s">
        <v>526</v>
      </c>
      <c r="E285" s="704">
        <v>1</v>
      </c>
      <c r="F285" s="704">
        <v>100</v>
      </c>
      <c r="H285">
        <f t="shared" si="70"/>
        <v>2151</v>
      </c>
      <c r="I285" t="str">
        <f t="shared" si="71"/>
        <v>Greater Sydney</v>
      </c>
      <c r="O285" s="704" t="s">
        <v>535</v>
      </c>
      <c r="P285" s="729">
        <v>349.63987097485074</v>
      </c>
      <c r="Q285" s="729">
        <v>366.78112632601665</v>
      </c>
      <c r="R285" s="729">
        <v>382.92945119194997</v>
      </c>
      <c r="S285" s="729">
        <v>406.63323312936467</v>
      </c>
      <c r="T285" s="729">
        <v>449.7340136874663</v>
      </c>
      <c r="U285" s="729">
        <v>509.25752820597762</v>
      </c>
      <c r="V285" s="729">
        <v>595.70561805666648</v>
      </c>
      <c r="W285" s="729">
        <v>669.08431501842233</v>
      </c>
      <c r="X285" s="729">
        <v>757.24241608106684</v>
      </c>
      <c r="Y285" s="729">
        <v>803.91627340212767</v>
      </c>
      <c r="Z285" s="729">
        <v>858.48197655929869</v>
      </c>
      <c r="AA285" s="729">
        <v>988.79240095219689</v>
      </c>
      <c r="AB285" s="729">
        <v>1142.8278510875982</v>
      </c>
      <c r="AC285" s="729">
        <v>1179.5427570241636</v>
      </c>
    </row>
    <row r="286" spans="1:29" x14ac:dyDescent="0.2">
      <c r="A286" s="704">
        <v>2152</v>
      </c>
      <c r="B286" s="704">
        <v>2152</v>
      </c>
      <c r="C286" s="704" t="s">
        <v>577</v>
      </c>
      <c r="D286" s="704" t="s">
        <v>526</v>
      </c>
      <c r="E286" s="704">
        <v>1</v>
      </c>
      <c r="F286" s="704">
        <v>100</v>
      </c>
      <c r="H286">
        <f t="shared" si="70"/>
        <v>2152</v>
      </c>
      <c r="I286" t="str">
        <f t="shared" si="71"/>
        <v>Greater Sydney</v>
      </c>
      <c r="O286" s="704" t="s">
        <v>542</v>
      </c>
      <c r="P286" s="729"/>
      <c r="Q286" s="729">
        <v>466.15398691512206</v>
      </c>
      <c r="R286" s="729">
        <v>482.20177499395362</v>
      </c>
      <c r="S286" s="729">
        <v>505.75798423703162</v>
      </c>
      <c r="T286" s="729">
        <v>548.59042904199407</v>
      </c>
      <c r="U286" s="729">
        <v>607.74336324181729</v>
      </c>
      <c r="V286" s="729">
        <v>693.6532489318588</v>
      </c>
      <c r="W286" s="729">
        <v>766.57510766656549</v>
      </c>
      <c r="X286" s="729">
        <v>854.18435583561666</v>
      </c>
      <c r="Y286" s="729">
        <v>900.56763456513045</v>
      </c>
      <c r="Z286" s="729">
        <v>954.79362664114103</v>
      </c>
      <c r="AA286" s="729">
        <v>1084.2927672021117</v>
      </c>
      <c r="AB286" s="729">
        <v>1237.3692290771221</v>
      </c>
      <c r="AC286" s="729">
        <v>1273.8555554790801</v>
      </c>
    </row>
    <row r="287" spans="1:29" x14ac:dyDescent="0.2">
      <c r="A287" s="704">
        <v>2153</v>
      </c>
      <c r="B287" s="704">
        <v>2153</v>
      </c>
      <c r="C287" s="704" t="s">
        <v>577</v>
      </c>
      <c r="D287" s="704" t="s">
        <v>526</v>
      </c>
      <c r="E287" s="704">
        <v>1</v>
      </c>
      <c r="F287" s="704">
        <v>100</v>
      </c>
      <c r="H287">
        <f t="shared" si="70"/>
        <v>2153</v>
      </c>
      <c r="I287" t="str">
        <f t="shared" si="71"/>
        <v>Greater Sydney</v>
      </c>
      <c r="O287" s="704" t="s">
        <v>545</v>
      </c>
      <c r="P287" s="729"/>
      <c r="Q287" s="729">
        <v>583.92838231086091</v>
      </c>
      <c r="R287" s="729">
        <v>599.98743971061856</v>
      </c>
      <c r="S287" s="729">
        <v>623.56018434657722</v>
      </c>
      <c r="T287" s="729">
        <v>666.42269838963023</v>
      </c>
      <c r="U287" s="729">
        <v>725.61715770344938</v>
      </c>
      <c r="V287" s="729">
        <v>811.58735353937698</v>
      </c>
      <c r="W287" s="729">
        <v>884.56040130828478</v>
      </c>
      <c r="X287" s="729">
        <v>972.23115351483534</v>
      </c>
      <c r="Y287" s="729">
        <v>1018.6469906837409</v>
      </c>
      <c r="Z287" s="729">
        <v>1072.9110494782749</v>
      </c>
      <c r="AA287" s="729">
        <v>1202.5010953958288</v>
      </c>
      <c r="AB287" s="729">
        <v>1355.6850173050277</v>
      </c>
      <c r="AC287" s="729">
        <v>1392.1969619610568</v>
      </c>
    </row>
    <row r="288" spans="1:29" x14ac:dyDescent="0.2">
      <c r="A288" s="704">
        <v>2154</v>
      </c>
      <c r="B288" s="704">
        <v>2154</v>
      </c>
      <c r="C288" s="704" t="s">
        <v>577</v>
      </c>
      <c r="D288" s="704" t="s">
        <v>526</v>
      </c>
      <c r="E288" s="704">
        <v>1</v>
      </c>
      <c r="F288" s="704">
        <v>100</v>
      </c>
      <c r="H288">
        <f t="shared" si="70"/>
        <v>2154</v>
      </c>
      <c r="I288" t="str">
        <f t="shared" si="71"/>
        <v>Greater Sydney</v>
      </c>
      <c r="O288" s="704" t="s">
        <v>548</v>
      </c>
      <c r="P288" s="729"/>
      <c r="Q288" s="729"/>
      <c r="R288" s="729">
        <v>717.77310442728344</v>
      </c>
      <c r="S288" s="729">
        <v>741.36238445612275</v>
      </c>
      <c r="T288" s="729">
        <v>784.25496773726638</v>
      </c>
      <c r="U288" s="729">
        <v>843.49095216508147</v>
      </c>
      <c r="V288" s="729">
        <v>929.52145814689516</v>
      </c>
      <c r="W288" s="729">
        <v>1002.5456949500041</v>
      </c>
      <c r="X288" s="729">
        <v>1090.2779511940539</v>
      </c>
      <c r="Y288" s="729">
        <v>1136.7263468023514</v>
      </c>
      <c r="Z288" s="729">
        <v>1191.0284723154086</v>
      </c>
      <c r="AA288" s="729">
        <v>1320.7094235895458</v>
      </c>
      <c r="AB288" s="729">
        <v>1474.0008055329333</v>
      </c>
      <c r="AC288" s="729">
        <v>1510.5383684430335</v>
      </c>
    </row>
    <row r="289" spans="1:29" x14ac:dyDescent="0.2">
      <c r="A289" s="704">
        <v>2155</v>
      </c>
      <c r="B289" s="704">
        <v>2155</v>
      </c>
      <c r="C289" s="704" t="s">
        <v>577</v>
      </c>
      <c r="D289" s="704" t="s">
        <v>526</v>
      </c>
      <c r="E289" s="704">
        <v>1</v>
      </c>
      <c r="F289" s="704">
        <v>100</v>
      </c>
      <c r="H289">
        <f t="shared" si="70"/>
        <v>2155</v>
      </c>
      <c r="I289" t="str">
        <f t="shared" si="71"/>
        <v>Greater Sydney</v>
      </c>
      <c r="P289" s="734"/>
      <c r="Q289" s="734"/>
      <c r="R289" s="734"/>
      <c r="S289" s="734"/>
      <c r="T289" s="734"/>
      <c r="U289" s="734"/>
      <c r="V289" s="734"/>
      <c r="W289" s="734"/>
      <c r="X289" s="734"/>
      <c r="Y289" s="734"/>
      <c r="Z289" s="734"/>
      <c r="AA289" s="734"/>
      <c r="AB289" s="734"/>
      <c r="AC289" s="734"/>
    </row>
    <row r="290" spans="1:29" x14ac:dyDescent="0.2">
      <c r="A290" s="704">
        <v>2156</v>
      </c>
      <c r="B290" s="704">
        <v>2156</v>
      </c>
      <c r="C290" s="704" t="s">
        <v>577</v>
      </c>
      <c r="D290" s="704" t="s">
        <v>526</v>
      </c>
      <c r="E290" s="704">
        <v>1</v>
      </c>
      <c r="F290" s="704">
        <v>100</v>
      </c>
      <c r="H290">
        <f t="shared" si="70"/>
        <v>2156</v>
      </c>
      <c r="I290" t="str">
        <f t="shared" si="71"/>
        <v>Greater Sydney</v>
      </c>
      <c r="P290" s="734"/>
      <c r="Q290" s="734"/>
      <c r="R290" s="734"/>
      <c r="S290" s="734"/>
      <c r="T290" s="734"/>
      <c r="U290" s="734"/>
      <c r="V290" s="734"/>
      <c r="W290" s="734"/>
      <c r="X290" s="734"/>
      <c r="Y290" s="734"/>
      <c r="Z290" s="734"/>
      <c r="AA290" s="734"/>
      <c r="AB290" s="734"/>
      <c r="AC290" s="734"/>
    </row>
    <row r="291" spans="1:29" x14ac:dyDescent="0.2">
      <c r="A291" s="704">
        <v>2157</v>
      </c>
      <c r="B291" s="704">
        <v>2157</v>
      </c>
      <c r="C291" s="704" t="s">
        <v>577</v>
      </c>
      <c r="D291" s="704" t="s">
        <v>526</v>
      </c>
      <c r="E291" s="704">
        <v>0.99975599999999998</v>
      </c>
      <c r="F291" s="704">
        <v>99.9756</v>
      </c>
      <c r="H291">
        <f t="shared" si="70"/>
        <v>2157</v>
      </c>
      <c r="I291" t="str">
        <f t="shared" si="71"/>
        <v>Greater Sydney</v>
      </c>
      <c r="P291" s="734"/>
      <c r="Q291" s="734"/>
      <c r="R291" s="734"/>
      <c r="S291" s="734"/>
      <c r="T291" s="734"/>
      <c r="U291" s="734"/>
      <c r="V291" s="734"/>
      <c r="W291" s="734"/>
      <c r="X291" s="734"/>
      <c r="Y291" s="734"/>
      <c r="Z291" s="734"/>
      <c r="AA291" s="734"/>
      <c r="AB291" s="734"/>
      <c r="AC291" s="734"/>
    </row>
    <row r="292" spans="1:29" x14ac:dyDescent="0.2">
      <c r="A292" s="704">
        <v>2158</v>
      </c>
      <c r="B292" s="704">
        <v>2158</v>
      </c>
      <c r="C292" s="704" t="s">
        <v>577</v>
      </c>
      <c r="D292" s="704" t="s">
        <v>526</v>
      </c>
      <c r="E292" s="704">
        <v>1</v>
      </c>
      <c r="F292" s="704">
        <v>100</v>
      </c>
      <c r="H292">
        <f t="shared" si="70"/>
        <v>2158</v>
      </c>
      <c r="I292" t="str">
        <f t="shared" si="71"/>
        <v>Greater Sydney</v>
      </c>
      <c r="P292" s="734"/>
      <c r="Q292" s="734"/>
      <c r="R292" s="734"/>
      <c r="S292" s="734"/>
      <c r="T292" s="734"/>
      <c r="U292" s="734"/>
      <c r="V292" s="734"/>
      <c r="W292" s="734"/>
      <c r="X292" s="734"/>
      <c r="Y292" s="734"/>
      <c r="Z292" s="734"/>
      <c r="AA292" s="734"/>
      <c r="AB292" s="734"/>
      <c r="AC292" s="734"/>
    </row>
    <row r="293" spans="1:29" x14ac:dyDescent="0.2">
      <c r="A293" s="704">
        <v>2159</v>
      </c>
      <c r="B293" s="704">
        <v>2159</v>
      </c>
      <c r="C293" s="704" t="s">
        <v>577</v>
      </c>
      <c r="D293" s="704" t="s">
        <v>526</v>
      </c>
      <c r="E293" s="704">
        <v>1</v>
      </c>
      <c r="F293" s="704">
        <v>100</v>
      </c>
      <c r="H293">
        <f t="shared" si="70"/>
        <v>2159</v>
      </c>
      <c r="I293" t="str">
        <f t="shared" si="71"/>
        <v>Greater Sydney</v>
      </c>
      <c r="P293" s="734"/>
      <c r="Q293" s="734"/>
      <c r="R293" s="734"/>
      <c r="S293" s="734"/>
      <c r="T293" s="734"/>
      <c r="U293" s="734"/>
      <c r="V293" s="734"/>
      <c r="W293" s="734"/>
      <c r="X293" s="734"/>
      <c r="Y293" s="734"/>
      <c r="Z293" s="734"/>
      <c r="AA293" s="734"/>
      <c r="AB293" s="734"/>
      <c r="AC293" s="734"/>
    </row>
    <row r="294" spans="1:29" x14ac:dyDescent="0.2">
      <c r="A294" s="704">
        <v>2160</v>
      </c>
      <c r="B294" s="704">
        <v>2160</v>
      </c>
      <c r="C294" s="704" t="s">
        <v>577</v>
      </c>
      <c r="D294" s="704" t="s">
        <v>526</v>
      </c>
      <c r="E294" s="704">
        <v>1</v>
      </c>
      <c r="F294" s="704">
        <v>100</v>
      </c>
      <c r="H294">
        <f t="shared" si="70"/>
        <v>2160</v>
      </c>
      <c r="I294" t="str">
        <f t="shared" si="71"/>
        <v>Greater Sydney</v>
      </c>
      <c r="P294" s="734"/>
      <c r="Q294" s="734"/>
      <c r="R294" s="734"/>
      <c r="S294" s="734"/>
      <c r="T294" s="734"/>
      <c r="U294" s="734"/>
      <c r="V294" s="734"/>
      <c r="W294" s="734"/>
      <c r="X294" s="734"/>
      <c r="Y294" s="734"/>
      <c r="Z294" s="734"/>
      <c r="AA294" s="734"/>
      <c r="AB294" s="734"/>
      <c r="AC294" s="734"/>
    </row>
    <row r="295" spans="1:29" x14ac:dyDescent="0.2">
      <c r="A295" s="704">
        <v>2161</v>
      </c>
      <c r="B295" s="704">
        <v>2161</v>
      </c>
      <c r="C295" s="704" t="s">
        <v>577</v>
      </c>
      <c r="D295" s="704" t="s">
        <v>526</v>
      </c>
      <c r="E295" s="704">
        <v>1</v>
      </c>
      <c r="F295" s="704">
        <v>100</v>
      </c>
      <c r="H295">
        <f t="shared" si="70"/>
        <v>2161</v>
      </c>
      <c r="I295" t="str">
        <f t="shared" si="71"/>
        <v>Greater Sydney</v>
      </c>
      <c r="P295" s="734"/>
      <c r="Q295" s="734"/>
      <c r="R295" s="734"/>
      <c r="S295" s="734"/>
      <c r="T295" s="734"/>
      <c r="U295" s="734"/>
      <c r="V295" s="734"/>
      <c r="W295" s="734"/>
      <c r="X295" s="734"/>
      <c r="Y295" s="734"/>
      <c r="Z295" s="734"/>
      <c r="AA295" s="734"/>
      <c r="AB295" s="734"/>
      <c r="AC295" s="734"/>
    </row>
    <row r="296" spans="1:29" x14ac:dyDescent="0.2">
      <c r="A296" s="704">
        <v>2162</v>
      </c>
      <c r="B296" s="704">
        <v>2162</v>
      </c>
      <c r="C296" s="704" t="s">
        <v>577</v>
      </c>
      <c r="D296" s="704" t="s">
        <v>526</v>
      </c>
      <c r="E296" s="704">
        <v>1</v>
      </c>
      <c r="F296" s="704">
        <v>100</v>
      </c>
      <c r="H296">
        <f t="shared" si="70"/>
        <v>2162</v>
      </c>
      <c r="I296" t="str">
        <f t="shared" si="71"/>
        <v>Greater Sydney</v>
      </c>
      <c r="P296" s="734"/>
      <c r="Q296" s="734"/>
      <c r="R296" s="734"/>
      <c r="T296" s="734"/>
      <c r="U296" s="734"/>
      <c r="V296" s="734"/>
      <c r="W296" s="734"/>
      <c r="X296" s="734"/>
      <c r="Y296" s="734"/>
      <c r="Z296" s="734"/>
      <c r="AA296" s="734"/>
      <c r="AB296" s="734"/>
      <c r="AC296" s="734"/>
    </row>
    <row r="297" spans="1:29" x14ac:dyDescent="0.2">
      <c r="A297" s="704">
        <v>2163</v>
      </c>
      <c r="B297" s="704">
        <v>2163</v>
      </c>
      <c r="C297" s="704" t="s">
        <v>577</v>
      </c>
      <c r="D297" s="704" t="s">
        <v>526</v>
      </c>
      <c r="E297" s="704">
        <v>1</v>
      </c>
      <c r="F297" s="704">
        <v>100</v>
      </c>
      <c r="H297">
        <f t="shared" si="70"/>
        <v>2163</v>
      </c>
      <c r="I297" t="str">
        <f t="shared" si="71"/>
        <v>Greater Sydney</v>
      </c>
      <c r="P297" s="734"/>
      <c r="Q297" s="734"/>
      <c r="R297" s="734"/>
      <c r="S297" s="734"/>
      <c r="T297" s="734"/>
      <c r="U297" s="734"/>
      <c r="V297" s="734"/>
      <c r="W297" s="734"/>
      <c r="X297" s="734"/>
      <c r="Y297" s="734"/>
      <c r="Z297" s="734"/>
      <c r="AA297" s="734"/>
      <c r="AB297" s="734"/>
      <c r="AC297" s="734"/>
    </row>
    <row r="298" spans="1:29" x14ac:dyDescent="0.2">
      <c r="A298" s="704">
        <v>2164</v>
      </c>
      <c r="B298" s="704">
        <v>2164</v>
      </c>
      <c r="C298" s="704" t="s">
        <v>577</v>
      </c>
      <c r="D298" s="704" t="s">
        <v>526</v>
      </c>
      <c r="E298" s="704">
        <v>1</v>
      </c>
      <c r="F298" s="704">
        <v>100</v>
      </c>
      <c r="H298">
        <f t="shared" si="70"/>
        <v>2164</v>
      </c>
      <c r="I298" t="str">
        <f t="shared" si="71"/>
        <v>Greater Sydney</v>
      </c>
      <c r="P298" s="734"/>
      <c r="Q298" s="734"/>
      <c r="R298" s="734"/>
      <c r="S298" s="734"/>
      <c r="T298" s="734"/>
      <c r="U298" s="734"/>
      <c r="V298" s="734"/>
      <c r="W298" s="734"/>
      <c r="X298" s="734"/>
      <c r="Y298" s="734"/>
      <c r="Z298" s="734"/>
      <c r="AA298" s="734"/>
      <c r="AB298" s="734"/>
      <c r="AC298" s="734"/>
    </row>
    <row r="299" spans="1:29" x14ac:dyDescent="0.2">
      <c r="A299" s="704">
        <v>2165</v>
      </c>
      <c r="B299" s="704">
        <v>2165</v>
      </c>
      <c r="C299" s="704" t="s">
        <v>577</v>
      </c>
      <c r="D299" s="704" t="s">
        <v>526</v>
      </c>
      <c r="E299" s="704">
        <v>1</v>
      </c>
      <c r="F299" s="704">
        <v>100</v>
      </c>
      <c r="H299">
        <f t="shared" si="70"/>
        <v>2165</v>
      </c>
      <c r="I299" t="str">
        <f t="shared" si="71"/>
        <v>Greater Sydney</v>
      </c>
      <c r="P299" s="734"/>
      <c r="Q299" s="734"/>
      <c r="R299" s="734"/>
      <c r="S299" s="734"/>
      <c r="T299" s="734"/>
      <c r="U299" s="734"/>
      <c r="V299" s="734"/>
      <c r="W299" s="734"/>
      <c r="X299" s="734"/>
      <c r="Y299" s="734"/>
      <c r="Z299" s="734"/>
      <c r="AA299" s="734"/>
      <c r="AB299" s="734"/>
      <c r="AC299" s="734"/>
    </row>
    <row r="300" spans="1:29" x14ac:dyDescent="0.2">
      <c r="A300" s="704">
        <v>2166</v>
      </c>
      <c r="B300" s="704">
        <v>2166</v>
      </c>
      <c r="C300" s="704" t="s">
        <v>577</v>
      </c>
      <c r="D300" s="704" t="s">
        <v>526</v>
      </c>
      <c r="E300" s="704">
        <v>1</v>
      </c>
      <c r="F300" s="704">
        <v>100</v>
      </c>
      <c r="H300">
        <f t="shared" si="70"/>
        <v>2166</v>
      </c>
      <c r="I300" t="str">
        <f t="shared" si="71"/>
        <v>Greater Sydney</v>
      </c>
      <c r="P300" s="734"/>
      <c r="Q300" s="734"/>
      <c r="R300" s="734"/>
      <c r="S300" s="734"/>
      <c r="T300" s="734"/>
      <c r="U300" s="734"/>
      <c r="V300" s="734"/>
      <c r="W300" s="734"/>
      <c r="X300" s="734"/>
      <c r="Y300" s="734"/>
      <c r="Z300" s="734"/>
      <c r="AA300" s="734"/>
      <c r="AB300" s="734"/>
      <c r="AC300" s="734"/>
    </row>
    <row r="301" spans="1:29" x14ac:dyDescent="0.2">
      <c r="A301" s="704">
        <v>2167</v>
      </c>
      <c r="B301" s="704">
        <v>2167</v>
      </c>
      <c r="C301" s="704" t="s">
        <v>577</v>
      </c>
      <c r="D301" s="704" t="s">
        <v>526</v>
      </c>
      <c r="E301" s="704">
        <v>1</v>
      </c>
      <c r="F301" s="704">
        <v>100</v>
      </c>
      <c r="H301">
        <f t="shared" si="70"/>
        <v>2167</v>
      </c>
      <c r="I301" t="str">
        <f t="shared" si="71"/>
        <v>Greater Sydney</v>
      </c>
      <c r="P301" s="734"/>
      <c r="Q301" s="734"/>
      <c r="R301" s="734"/>
      <c r="S301" s="734"/>
      <c r="T301" s="734"/>
      <c r="U301" s="734"/>
      <c r="V301" s="734"/>
      <c r="W301" s="734"/>
      <c r="X301" s="734"/>
      <c r="Y301" s="734"/>
      <c r="Z301" s="734"/>
      <c r="AA301" s="734"/>
      <c r="AB301" s="734"/>
      <c r="AC301" s="734"/>
    </row>
    <row r="302" spans="1:29" x14ac:dyDescent="0.2">
      <c r="A302" s="704">
        <v>2168</v>
      </c>
      <c r="B302" s="704">
        <v>2168</v>
      </c>
      <c r="C302" s="704" t="s">
        <v>577</v>
      </c>
      <c r="D302" s="704" t="s">
        <v>526</v>
      </c>
      <c r="E302" s="704">
        <v>1</v>
      </c>
      <c r="F302" s="704">
        <v>100</v>
      </c>
      <c r="H302">
        <f t="shared" si="70"/>
        <v>2168</v>
      </c>
      <c r="I302" t="str">
        <f t="shared" si="71"/>
        <v>Greater Sydney</v>
      </c>
      <c r="P302" s="734"/>
      <c r="Q302" s="734"/>
      <c r="R302" s="734"/>
      <c r="S302" s="734"/>
      <c r="T302" s="734"/>
      <c r="U302" s="734"/>
      <c r="V302" s="734"/>
      <c r="W302" s="734"/>
      <c r="X302" s="734"/>
      <c r="Y302" s="734"/>
      <c r="Z302" s="734"/>
      <c r="AA302" s="734"/>
      <c r="AB302" s="734"/>
      <c r="AC302" s="734"/>
    </row>
    <row r="303" spans="1:29" x14ac:dyDescent="0.2">
      <c r="A303" s="704">
        <v>2170</v>
      </c>
      <c r="B303" s="704">
        <v>2170</v>
      </c>
      <c r="C303" s="704" t="s">
        <v>577</v>
      </c>
      <c r="D303" s="704" t="s">
        <v>526</v>
      </c>
      <c r="E303" s="704">
        <v>1</v>
      </c>
      <c r="F303" s="704">
        <v>100</v>
      </c>
      <c r="H303">
        <f t="shared" si="70"/>
        <v>2170</v>
      </c>
      <c r="I303" t="str">
        <f t="shared" si="71"/>
        <v>Greater Sydney</v>
      </c>
      <c r="P303" s="734"/>
      <c r="Q303" s="734"/>
      <c r="R303" s="734"/>
      <c r="S303" s="734"/>
      <c r="T303" s="734"/>
      <c r="U303" s="734"/>
      <c r="V303" s="734"/>
      <c r="W303" s="734"/>
      <c r="X303" s="734"/>
      <c r="Y303" s="734"/>
      <c r="Z303" s="734"/>
      <c r="AA303" s="734"/>
      <c r="AB303" s="734"/>
      <c r="AC303" s="734"/>
    </row>
    <row r="304" spans="1:29" x14ac:dyDescent="0.2">
      <c r="A304" s="704">
        <v>2171</v>
      </c>
      <c r="B304" s="704">
        <v>2171</v>
      </c>
      <c r="C304" s="704" t="s">
        <v>577</v>
      </c>
      <c r="D304" s="704" t="s">
        <v>526</v>
      </c>
      <c r="E304" s="704">
        <v>1</v>
      </c>
      <c r="F304" s="704">
        <v>100</v>
      </c>
      <c r="H304">
        <f t="shared" si="70"/>
        <v>2171</v>
      </c>
      <c r="I304" t="str">
        <f t="shared" si="71"/>
        <v>Greater Sydney</v>
      </c>
      <c r="P304" s="734"/>
      <c r="Q304" s="734"/>
      <c r="R304" s="734"/>
      <c r="S304" s="734"/>
      <c r="T304" s="734"/>
      <c r="U304" s="734"/>
      <c r="V304" s="734"/>
      <c r="W304" s="734"/>
      <c r="X304" s="734"/>
      <c r="Y304" s="734"/>
      <c r="Z304" s="734"/>
      <c r="AA304" s="734"/>
      <c r="AB304" s="734"/>
      <c r="AC304" s="734"/>
    </row>
    <row r="305" spans="1:29" x14ac:dyDescent="0.2">
      <c r="A305" s="704">
        <v>2172</v>
      </c>
      <c r="B305" s="704">
        <v>2172</v>
      </c>
      <c r="C305" s="704" t="s">
        <v>577</v>
      </c>
      <c r="D305" s="704" t="s">
        <v>526</v>
      </c>
      <c r="E305" s="704">
        <v>1</v>
      </c>
      <c r="F305" s="704">
        <v>100</v>
      </c>
      <c r="H305">
        <f t="shared" si="70"/>
        <v>2172</v>
      </c>
      <c r="I305" t="str">
        <f t="shared" si="71"/>
        <v>Greater Sydney</v>
      </c>
      <c r="P305" s="734"/>
      <c r="Q305" s="734"/>
      <c r="R305" s="734"/>
      <c r="S305" s="734"/>
      <c r="T305" s="734"/>
      <c r="U305" s="734"/>
      <c r="V305" s="734"/>
      <c r="W305" s="734"/>
      <c r="X305" s="734"/>
      <c r="Y305" s="734"/>
      <c r="Z305" s="734"/>
      <c r="AA305" s="734"/>
      <c r="AB305" s="734"/>
      <c r="AC305" s="734"/>
    </row>
    <row r="306" spans="1:29" x14ac:dyDescent="0.2">
      <c r="A306" s="704">
        <v>2173</v>
      </c>
      <c r="B306" s="704">
        <v>2173</v>
      </c>
      <c r="C306" s="704" t="s">
        <v>577</v>
      </c>
      <c r="D306" s="704" t="s">
        <v>526</v>
      </c>
      <c r="E306" s="704">
        <v>1</v>
      </c>
      <c r="F306" s="704">
        <v>100</v>
      </c>
      <c r="H306">
        <f t="shared" si="70"/>
        <v>2173</v>
      </c>
      <c r="I306" t="str">
        <f t="shared" si="71"/>
        <v>Greater Sydney</v>
      </c>
      <c r="P306" s="734"/>
      <c r="Q306" s="734"/>
      <c r="R306" s="734"/>
      <c r="S306" s="734"/>
      <c r="T306" s="734"/>
      <c r="U306" s="734"/>
      <c r="V306" s="734"/>
      <c r="W306" s="734"/>
      <c r="X306" s="734"/>
      <c r="Y306" s="734"/>
      <c r="Z306" s="734"/>
      <c r="AA306" s="734"/>
      <c r="AB306" s="734"/>
      <c r="AC306" s="734"/>
    </row>
    <row r="307" spans="1:29" x14ac:dyDescent="0.2">
      <c r="A307" s="704">
        <v>2174</v>
      </c>
      <c r="B307" s="704">
        <v>2174</v>
      </c>
      <c r="C307" s="704" t="s">
        <v>577</v>
      </c>
      <c r="D307" s="704" t="s">
        <v>526</v>
      </c>
      <c r="E307" s="704">
        <v>1</v>
      </c>
      <c r="F307" s="704">
        <v>100</v>
      </c>
      <c r="H307">
        <f t="shared" si="70"/>
        <v>2174</v>
      </c>
      <c r="I307" t="str">
        <f t="shared" si="71"/>
        <v>Greater Sydney</v>
      </c>
      <c r="P307" s="734"/>
      <c r="Q307" s="734"/>
      <c r="R307" s="734"/>
      <c r="S307" s="734"/>
      <c r="T307" s="734"/>
      <c r="U307" s="734"/>
      <c r="V307" s="734"/>
      <c r="W307" s="734"/>
      <c r="X307" s="734"/>
      <c r="Y307" s="734"/>
      <c r="Z307" s="734"/>
      <c r="AA307" s="734"/>
      <c r="AB307" s="734"/>
      <c r="AC307" s="734"/>
    </row>
    <row r="308" spans="1:29" x14ac:dyDescent="0.2">
      <c r="A308" s="704">
        <v>2175</v>
      </c>
      <c r="B308" s="704">
        <v>2175</v>
      </c>
      <c r="C308" s="704" t="s">
        <v>577</v>
      </c>
      <c r="D308" s="704" t="s">
        <v>526</v>
      </c>
      <c r="E308" s="704">
        <v>1</v>
      </c>
      <c r="F308" s="704">
        <v>100</v>
      </c>
      <c r="H308">
        <f t="shared" si="70"/>
        <v>2175</v>
      </c>
      <c r="I308" t="str">
        <f t="shared" si="71"/>
        <v>Greater Sydney</v>
      </c>
      <c r="P308" s="734"/>
      <c r="Q308" s="734"/>
      <c r="R308" s="734"/>
      <c r="S308" s="734"/>
      <c r="T308" s="734"/>
      <c r="U308" s="734"/>
      <c r="V308" s="734"/>
      <c r="W308" s="734"/>
      <c r="X308" s="734"/>
      <c r="Y308" s="734"/>
      <c r="Z308" s="734"/>
      <c r="AA308" s="734"/>
      <c r="AB308" s="734"/>
      <c r="AC308" s="734"/>
    </row>
    <row r="309" spans="1:29" x14ac:dyDescent="0.2">
      <c r="A309" s="704">
        <v>2176</v>
      </c>
      <c r="B309" s="704">
        <v>2176</v>
      </c>
      <c r="C309" s="704" t="s">
        <v>577</v>
      </c>
      <c r="D309" s="704" t="s">
        <v>526</v>
      </c>
      <c r="E309" s="704">
        <v>1</v>
      </c>
      <c r="F309" s="704">
        <v>100</v>
      </c>
      <c r="H309">
        <f t="shared" si="70"/>
        <v>2176</v>
      </c>
      <c r="I309" t="str">
        <f t="shared" si="71"/>
        <v>Greater Sydney</v>
      </c>
      <c r="P309" s="734"/>
      <c r="Q309" s="734"/>
      <c r="R309" s="734"/>
      <c r="S309" s="734"/>
      <c r="T309" s="734"/>
      <c r="U309" s="734"/>
      <c r="V309" s="734"/>
      <c r="W309" s="734"/>
      <c r="X309" s="734"/>
      <c r="Y309" s="734"/>
      <c r="Z309" s="734"/>
      <c r="AA309" s="734"/>
      <c r="AB309" s="734"/>
      <c r="AC309" s="734"/>
    </row>
    <row r="310" spans="1:29" x14ac:dyDescent="0.2">
      <c r="A310" s="704">
        <v>2177</v>
      </c>
      <c r="B310" s="704">
        <v>2177</v>
      </c>
      <c r="C310" s="704" t="s">
        <v>577</v>
      </c>
      <c r="D310" s="704" t="s">
        <v>526</v>
      </c>
      <c r="E310" s="704">
        <v>1</v>
      </c>
      <c r="F310" s="704">
        <v>100</v>
      </c>
      <c r="H310">
        <f t="shared" si="70"/>
        <v>2177</v>
      </c>
      <c r="I310" t="str">
        <f t="shared" si="71"/>
        <v>Greater Sydney</v>
      </c>
      <c r="P310" s="734"/>
      <c r="Q310" s="734"/>
      <c r="R310" s="734"/>
      <c r="S310" s="734"/>
      <c r="T310" s="734"/>
      <c r="U310" s="734"/>
      <c r="V310" s="734"/>
      <c r="W310" s="734"/>
      <c r="X310" s="734"/>
      <c r="Y310" s="734"/>
      <c r="Z310" s="734"/>
      <c r="AA310" s="734"/>
      <c r="AB310" s="734"/>
      <c r="AC310" s="734"/>
    </row>
    <row r="311" spans="1:29" x14ac:dyDescent="0.2">
      <c r="A311" s="704">
        <v>2178</v>
      </c>
      <c r="B311" s="704">
        <v>2178</v>
      </c>
      <c r="C311" s="704" t="s">
        <v>577</v>
      </c>
      <c r="D311" s="704" t="s">
        <v>526</v>
      </c>
      <c r="E311" s="704">
        <v>1</v>
      </c>
      <c r="F311" s="704">
        <v>100</v>
      </c>
      <c r="H311">
        <f t="shared" si="70"/>
        <v>2178</v>
      </c>
      <c r="I311" t="str">
        <f t="shared" si="71"/>
        <v>Greater Sydney</v>
      </c>
      <c r="P311" s="734"/>
      <c r="Q311" s="734"/>
      <c r="R311" s="734"/>
      <c r="S311" s="734"/>
      <c r="T311" s="734"/>
      <c r="U311" s="734"/>
      <c r="V311" s="734"/>
      <c r="W311" s="734"/>
      <c r="X311" s="734"/>
      <c r="Y311" s="734"/>
      <c r="Z311" s="734"/>
      <c r="AA311" s="734"/>
      <c r="AB311" s="734"/>
      <c r="AC311" s="734"/>
    </row>
    <row r="312" spans="1:29" x14ac:dyDescent="0.2">
      <c r="A312" s="704">
        <v>2179</v>
      </c>
      <c r="B312" s="704">
        <v>2179</v>
      </c>
      <c r="C312" s="704" t="s">
        <v>577</v>
      </c>
      <c r="D312" s="704" t="s">
        <v>526</v>
      </c>
      <c r="E312" s="704">
        <v>1</v>
      </c>
      <c r="F312" s="704">
        <v>100</v>
      </c>
      <c r="H312">
        <f t="shared" si="70"/>
        <v>2179</v>
      </c>
      <c r="I312" t="str">
        <f t="shared" si="71"/>
        <v>Greater Sydney</v>
      </c>
      <c r="P312" s="734"/>
      <c r="Q312" s="734"/>
      <c r="R312" s="734"/>
      <c r="S312" s="734"/>
      <c r="T312" s="734"/>
      <c r="U312" s="734"/>
      <c r="V312" s="734"/>
      <c r="W312" s="734"/>
      <c r="X312" s="734"/>
      <c r="Y312" s="734"/>
      <c r="Z312" s="734"/>
      <c r="AA312" s="734"/>
      <c r="AB312" s="734"/>
      <c r="AC312" s="734"/>
    </row>
    <row r="313" spans="1:29" x14ac:dyDescent="0.2">
      <c r="A313" s="704">
        <v>2190</v>
      </c>
      <c r="B313" s="704">
        <v>2190</v>
      </c>
      <c r="C313" s="704" t="s">
        <v>577</v>
      </c>
      <c r="D313" s="704" t="s">
        <v>526</v>
      </c>
      <c r="E313" s="704">
        <v>1</v>
      </c>
      <c r="F313" s="704">
        <v>100</v>
      </c>
      <c r="H313">
        <f t="shared" ref="H313:H376" si="72">A313*1</f>
        <v>2190</v>
      </c>
      <c r="I313" t="str">
        <f t="shared" ref="I313:I376" si="73">D313</f>
        <v>Greater Sydney</v>
      </c>
      <c r="P313" s="734"/>
      <c r="Q313" s="734"/>
      <c r="R313" s="734"/>
      <c r="S313" s="734"/>
      <c r="T313" s="734"/>
      <c r="U313" s="734"/>
      <c r="V313" s="734"/>
      <c r="W313" s="734"/>
      <c r="X313" s="734"/>
      <c r="Y313" s="734"/>
      <c r="Z313" s="734"/>
      <c r="AA313" s="734"/>
      <c r="AB313" s="734"/>
      <c r="AC313" s="734"/>
    </row>
    <row r="314" spans="1:29" x14ac:dyDescent="0.2">
      <c r="A314" s="704">
        <v>2191</v>
      </c>
      <c r="B314" s="704">
        <v>2191</v>
      </c>
      <c r="C314" s="704" t="s">
        <v>577</v>
      </c>
      <c r="D314" s="704" t="s">
        <v>526</v>
      </c>
      <c r="E314" s="704">
        <v>1</v>
      </c>
      <c r="F314" s="704">
        <v>100</v>
      </c>
      <c r="H314">
        <f t="shared" si="72"/>
        <v>2191</v>
      </c>
      <c r="I314" t="str">
        <f t="shared" si="73"/>
        <v>Greater Sydney</v>
      </c>
      <c r="P314" s="734"/>
      <c r="Q314" s="734"/>
      <c r="R314" s="734"/>
      <c r="S314" s="734"/>
      <c r="T314" s="734"/>
      <c r="U314" s="734"/>
      <c r="V314" s="734"/>
      <c r="W314" s="734"/>
      <c r="X314" s="734"/>
      <c r="Y314" s="734"/>
      <c r="Z314" s="734"/>
      <c r="AA314" s="734"/>
      <c r="AB314" s="734"/>
      <c r="AC314" s="734"/>
    </row>
    <row r="315" spans="1:29" x14ac:dyDescent="0.2">
      <c r="A315" s="704">
        <v>2192</v>
      </c>
      <c r="B315" s="704">
        <v>2192</v>
      </c>
      <c r="C315" s="704" t="s">
        <v>577</v>
      </c>
      <c r="D315" s="704" t="s">
        <v>526</v>
      </c>
      <c r="E315" s="704">
        <v>1</v>
      </c>
      <c r="F315" s="704">
        <v>100</v>
      </c>
      <c r="H315">
        <f t="shared" si="72"/>
        <v>2192</v>
      </c>
      <c r="I315" t="str">
        <f t="shared" si="73"/>
        <v>Greater Sydney</v>
      </c>
      <c r="P315" s="734"/>
      <c r="Q315" s="734"/>
      <c r="R315" s="734"/>
      <c r="S315" s="734"/>
      <c r="T315" s="734"/>
      <c r="U315" s="734"/>
      <c r="V315" s="734"/>
      <c r="W315" s="734"/>
      <c r="X315" s="734"/>
      <c r="Y315" s="734"/>
      <c r="Z315" s="734"/>
      <c r="AA315" s="734"/>
      <c r="AB315" s="734"/>
      <c r="AC315" s="734"/>
    </row>
    <row r="316" spans="1:29" x14ac:dyDescent="0.2">
      <c r="A316" s="704">
        <v>2193</v>
      </c>
      <c r="B316" s="704">
        <v>2193</v>
      </c>
      <c r="C316" s="704" t="s">
        <v>577</v>
      </c>
      <c r="D316" s="704" t="s">
        <v>526</v>
      </c>
      <c r="E316" s="704">
        <v>1</v>
      </c>
      <c r="F316" s="704">
        <v>100</v>
      </c>
      <c r="H316">
        <f t="shared" si="72"/>
        <v>2193</v>
      </c>
      <c r="I316" t="str">
        <f t="shared" si="73"/>
        <v>Greater Sydney</v>
      </c>
      <c r="P316" s="734"/>
      <c r="Q316" s="734"/>
      <c r="R316" s="734"/>
      <c r="S316" s="734"/>
      <c r="T316" s="734"/>
      <c r="U316" s="734"/>
      <c r="V316" s="734"/>
      <c r="W316" s="734"/>
      <c r="X316" s="734"/>
      <c r="Y316" s="734"/>
      <c r="Z316" s="734"/>
      <c r="AA316" s="734"/>
      <c r="AB316" s="734"/>
      <c r="AC316" s="734"/>
    </row>
    <row r="317" spans="1:29" x14ac:dyDescent="0.2">
      <c r="A317" s="704">
        <v>2194</v>
      </c>
      <c r="B317" s="704">
        <v>2194</v>
      </c>
      <c r="C317" s="704" t="s">
        <v>577</v>
      </c>
      <c r="D317" s="704" t="s">
        <v>526</v>
      </c>
      <c r="E317" s="704">
        <v>1</v>
      </c>
      <c r="F317" s="704">
        <v>100</v>
      </c>
      <c r="H317">
        <f t="shared" si="72"/>
        <v>2194</v>
      </c>
      <c r="I317" t="str">
        <f t="shared" si="73"/>
        <v>Greater Sydney</v>
      </c>
      <c r="P317" s="734"/>
      <c r="Q317" s="734"/>
      <c r="R317" s="734"/>
      <c r="S317" s="734"/>
      <c r="T317" s="734"/>
      <c r="U317" s="734"/>
      <c r="V317" s="734"/>
      <c r="W317" s="734"/>
      <c r="X317" s="734"/>
      <c r="Y317" s="734"/>
      <c r="Z317" s="734"/>
      <c r="AA317" s="734"/>
      <c r="AB317" s="734"/>
      <c r="AC317" s="734"/>
    </row>
    <row r="318" spans="1:29" x14ac:dyDescent="0.2">
      <c r="A318" s="704">
        <v>2195</v>
      </c>
      <c r="B318" s="704">
        <v>2195</v>
      </c>
      <c r="C318" s="704" t="s">
        <v>577</v>
      </c>
      <c r="D318" s="704" t="s">
        <v>526</v>
      </c>
      <c r="E318" s="704">
        <v>1</v>
      </c>
      <c r="F318" s="704">
        <v>100</v>
      </c>
      <c r="H318">
        <f t="shared" si="72"/>
        <v>2195</v>
      </c>
      <c r="I318" t="str">
        <f t="shared" si="73"/>
        <v>Greater Sydney</v>
      </c>
      <c r="P318" s="734"/>
      <c r="Q318" s="734"/>
      <c r="R318" s="734"/>
      <c r="S318" s="734"/>
      <c r="T318" s="734"/>
      <c r="U318" s="734"/>
      <c r="V318" s="734"/>
      <c r="W318" s="734"/>
      <c r="X318" s="734"/>
      <c r="Y318" s="734"/>
      <c r="Z318" s="734"/>
      <c r="AA318" s="734"/>
      <c r="AB318" s="734"/>
      <c r="AC318" s="734"/>
    </row>
    <row r="319" spans="1:29" x14ac:dyDescent="0.2">
      <c r="A319" s="704">
        <v>2196</v>
      </c>
      <c r="B319" s="704">
        <v>2196</v>
      </c>
      <c r="C319" s="704" t="s">
        <v>577</v>
      </c>
      <c r="D319" s="704" t="s">
        <v>526</v>
      </c>
      <c r="E319" s="704">
        <v>1</v>
      </c>
      <c r="F319" s="704">
        <v>100</v>
      </c>
      <c r="H319">
        <f t="shared" si="72"/>
        <v>2196</v>
      </c>
      <c r="I319" t="str">
        <f t="shared" si="73"/>
        <v>Greater Sydney</v>
      </c>
      <c r="P319" s="734"/>
      <c r="Q319" s="734"/>
      <c r="R319" s="734"/>
      <c r="S319" s="734"/>
      <c r="T319" s="734"/>
      <c r="U319" s="734"/>
      <c r="V319" s="734"/>
      <c r="W319" s="734"/>
      <c r="X319" s="734"/>
      <c r="Y319" s="734"/>
      <c r="Z319" s="734"/>
      <c r="AA319" s="734"/>
      <c r="AB319" s="734"/>
      <c r="AC319" s="734"/>
    </row>
    <row r="320" spans="1:29" x14ac:dyDescent="0.2">
      <c r="A320" s="704">
        <v>2197</v>
      </c>
      <c r="B320" s="704">
        <v>2197</v>
      </c>
      <c r="C320" s="704" t="s">
        <v>577</v>
      </c>
      <c r="D320" s="704" t="s">
        <v>526</v>
      </c>
      <c r="E320" s="704">
        <v>1</v>
      </c>
      <c r="F320" s="704">
        <v>100</v>
      </c>
      <c r="H320">
        <f t="shared" si="72"/>
        <v>2197</v>
      </c>
      <c r="I320" t="str">
        <f t="shared" si="73"/>
        <v>Greater Sydney</v>
      </c>
      <c r="P320" s="734"/>
      <c r="Q320" s="734"/>
      <c r="R320" s="734"/>
      <c r="S320" s="734"/>
      <c r="T320" s="734"/>
      <c r="U320" s="734"/>
      <c r="V320" s="734"/>
      <c r="W320" s="734"/>
      <c r="X320" s="734"/>
      <c r="Y320" s="734"/>
      <c r="Z320" s="734"/>
      <c r="AA320" s="734"/>
      <c r="AB320" s="734"/>
      <c r="AC320" s="734"/>
    </row>
    <row r="321" spans="1:29" x14ac:dyDescent="0.2">
      <c r="A321" s="704">
        <v>2198</v>
      </c>
      <c r="B321" s="704">
        <v>2198</v>
      </c>
      <c r="C321" s="704" t="s">
        <v>577</v>
      </c>
      <c r="D321" s="704" t="s">
        <v>526</v>
      </c>
      <c r="E321" s="704">
        <v>1</v>
      </c>
      <c r="F321" s="704">
        <v>100</v>
      </c>
      <c r="H321">
        <f t="shared" si="72"/>
        <v>2198</v>
      </c>
      <c r="I321" t="str">
        <f t="shared" si="73"/>
        <v>Greater Sydney</v>
      </c>
      <c r="P321" s="734"/>
      <c r="Q321" s="734"/>
      <c r="R321" s="734"/>
      <c r="S321" s="734"/>
      <c r="T321" s="734"/>
      <c r="U321" s="734"/>
      <c r="V321" s="734"/>
      <c r="W321" s="734"/>
      <c r="X321" s="734"/>
      <c r="Y321" s="734"/>
      <c r="Z321" s="734"/>
      <c r="AA321" s="734"/>
      <c r="AB321" s="734"/>
      <c r="AC321" s="734"/>
    </row>
    <row r="322" spans="1:29" x14ac:dyDescent="0.2">
      <c r="A322" s="704">
        <v>2199</v>
      </c>
      <c r="B322" s="704">
        <v>2199</v>
      </c>
      <c r="C322" s="704" t="s">
        <v>577</v>
      </c>
      <c r="D322" s="704" t="s">
        <v>526</v>
      </c>
      <c r="E322" s="704">
        <v>1</v>
      </c>
      <c r="F322" s="704">
        <v>100</v>
      </c>
      <c r="H322">
        <f t="shared" si="72"/>
        <v>2199</v>
      </c>
      <c r="I322" t="str">
        <f t="shared" si="73"/>
        <v>Greater Sydney</v>
      </c>
      <c r="P322" s="734"/>
      <c r="Q322" s="734"/>
      <c r="R322" s="734"/>
      <c r="S322" s="734"/>
      <c r="T322" s="734"/>
      <c r="U322" s="734"/>
      <c r="V322" s="734"/>
      <c r="W322" s="734"/>
      <c r="X322" s="734"/>
      <c r="Y322" s="734"/>
      <c r="Z322" s="734"/>
      <c r="AA322" s="734"/>
      <c r="AB322" s="734"/>
      <c r="AC322" s="734"/>
    </row>
    <row r="323" spans="1:29" x14ac:dyDescent="0.2">
      <c r="A323" s="704">
        <v>2200</v>
      </c>
      <c r="B323" s="704">
        <v>2200</v>
      </c>
      <c r="C323" s="704" t="s">
        <v>577</v>
      </c>
      <c r="D323" s="704" t="s">
        <v>526</v>
      </c>
      <c r="E323" s="704">
        <v>1</v>
      </c>
      <c r="F323" s="704">
        <v>100</v>
      </c>
      <c r="H323">
        <f t="shared" si="72"/>
        <v>2200</v>
      </c>
      <c r="I323" t="str">
        <f t="shared" si="73"/>
        <v>Greater Sydney</v>
      </c>
      <c r="P323" s="734"/>
      <c r="Q323" s="734"/>
      <c r="R323" s="734"/>
      <c r="S323" s="734"/>
      <c r="T323" s="734"/>
      <c r="U323" s="734"/>
      <c r="V323" s="734"/>
      <c r="W323" s="734"/>
      <c r="X323" s="734"/>
      <c r="Y323" s="734"/>
      <c r="Z323" s="734"/>
      <c r="AA323" s="734"/>
      <c r="AB323" s="734"/>
      <c r="AC323" s="734"/>
    </row>
    <row r="324" spans="1:29" x14ac:dyDescent="0.2">
      <c r="A324" s="704">
        <v>2203</v>
      </c>
      <c r="B324" s="704">
        <v>2203</v>
      </c>
      <c r="C324" s="704" t="s">
        <v>577</v>
      </c>
      <c r="D324" s="704" t="s">
        <v>526</v>
      </c>
      <c r="E324" s="704">
        <v>1</v>
      </c>
      <c r="F324" s="704">
        <v>100</v>
      </c>
      <c r="H324">
        <f t="shared" si="72"/>
        <v>2203</v>
      </c>
      <c r="I324" t="str">
        <f t="shared" si="73"/>
        <v>Greater Sydney</v>
      </c>
      <c r="P324" s="734"/>
      <c r="Q324" s="734"/>
      <c r="R324" s="734"/>
      <c r="S324" s="734"/>
      <c r="T324" s="734"/>
      <c r="U324" s="734"/>
      <c r="V324" s="734"/>
      <c r="W324" s="734"/>
      <c r="X324" s="734"/>
      <c r="Y324" s="734"/>
      <c r="Z324" s="734"/>
      <c r="AA324" s="734"/>
      <c r="AB324" s="734"/>
      <c r="AC324" s="734"/>
    </row>
    <row r="325" spans="1:29" x14ac:dyDescent="0.2">
      <c r="A325" s="704">
        <v>2204</v>
      </c>
      <c r="B325" s="704">
        <v>2204</v>
      </c>
      <c r="C325" s="704" t="s">
        <v>577</v>
      </c>
      <c r="D325" s="704" t="s">
        <v>526</v>
      </c>
      <c r="E325" s="704">
        <v>1</v>
      </c>
      <c r="F325" s="704">
        <v>100</v>
      </c>
      <c r="H325">
        <f t="shared" si="72"/>
        <v>2204</v>
      </c>
      <c r="I325" t="str">
        <f t="shared" si="73"/>
        <v>Greater Sydney</v>
      </c>
      <c r="P325" s="734"/>
      <c r="Q325" s="734"/>
      <c r="R325" s="734"/>
      <c r="S325" s="734"/>
      <c r="T325" s="734"/>
      <c r="U325" s="734"/>
      <c r="V325" s="734"/>
      <c r="W325" s="734"/>
      <c r="X325" s="734"/>
      <c r="Y325" s="734"/>
      <c r="Z325" s="734"/>
      <c r="AA325" s="734"/>
      <c r="AB325" s="734"/>
      <c r="AC325" s="734"/>
    </row>
    <row r="326" spans="1:29" x14ac:dyDescent="0.2">
      <c r="A326" s="704">
        <v>2205</v>
      </c>
      <c r="B326" s="704">
        <v>2205</v>
      </c>
      <c r="C326" s="704" t="s">
        <v>577</v>
      </c>
      <c r="D326" s="704" t="s">
        <v>526</v>
      </c>
      <c r="E326" s="704">
        <v>1</v>
      </c>
      <c r="F326" s="704">
        <v>100</v>
      </c>
      <c r="H326">
        <f t="shared" si="72"/>
        <v>2205</v>
      </c>
      <c r="I326" t="str">
        <f t="shared" si="73"/>
        <v>Greater Sydney</v>
      </c>
      <c r="P326" s="734"/>
      <c r="Q326" s="734"/>
      <c r="R326" s="734"/>
      <c r="S326" s="734"/>
      <c r="T326" s="734"/>
      <c r="U326" s="734"/>
      <c r="V326" s="734"/>
      <c r="W326" s="734"/>
      <c r="X326" s="734"/>
      <c r="Y326" s="734"/>
      <c r="Z326" s="734"/>
      <c r="AA326" s="734"/>
      <c r="AB326" s="734"/>
      <c r="AC326" s="734"/>
    </row>
    <row r="327" spans="1:29" x14ac:dyDescent="0.2">
      <c r="A327" s="704">
        <v>2206</v>
      </c>
      <c r="B327" s="704">
        <v>2206</v>
      </c>
      <c r="C327" s="704" t="s">
        <v>577</v>
      </c>
      <c r="D327" s="704" t="s">
        <v>526</v>
      </c>
      <c r="E327" s="704">
        <v>1</v>
      </c>
      <c r="F327" s="704">
        <v>100</v>
      </c>
      <c r="H327">
        <f t="shared" si="72"/>
        <v>2206</v>
      </c>
      <c r="I327" t="str">
        <f t="shared" si="73"/>
        <v>Greater Sydney</v>
      </c>
      <c r="P327" s="734"/>
      <c r="Q327" s="734"/>
      <c r="R327" s="734"/>
      <c r="S327" s="734"/>
      <c r="T327" s="734"/>
      <c r="U327" s="734"/>
      <c r="V327" s="734"/>
      <c r="W327" s="734"/>
      <c r="X327" s="734"/>
      <c r="Y327" s="734"/>
      <c r="Z327" s="734"/>
      <c r="AA327" s="734"/>
      <c r="AB327" s="734"/>
      <c r="AC327" s="734"/>
    </row>
    <row r="328" spans="1:29" x14ac:dyDescent="0.2">
      <c r="A328" s="704">
        <v>2207</v>
      </c>
      <c r="B328" s="704">
        <v>2207</v>
      </c>
      <c r="C328" s="704" t="s">
        <v>577</v>
      </c>
      <c r="D328" s="704" t="s">
        <v>526</v>
      </c>
      <c r="E328" s="704">
        <v>1</v>
      </c>
      <c r="F328" s="704">
        <v>100</v>
      </c>
      <c r="H328">
        <f t="shared" si="72"/>
        <v>2207</v>
      </c>
      <c r="I328" t="str">
        <f t="shared" si="73"/>
        <v>Greater Sydney</v>
      </c>
      <c r="P328" s="734"/>
      <c r="Q328" s="734"/>
      <c r="R328" s="734"/>
      <c r="S328" s="734"/>
      <c r="T328" s="734"/>
      <c r="U328" s="734"/>
      <c r="V328" s="734"/>
      <c r="W328" s="734"/>
      <c r="X328" s="734"/>
      <c r="Y328" s="734"/>
      <c r="Z328" s="734"/>
      <c r="AA328" s="734"/>
      <c r="AB328" s="734"/>
      <c r="AC328" s="734"/>
    </row>
    <row r="329" spans="1:29" x14ac:dyDescent="0.2">
      <c r="A329" s="704">
        <v>2208</v>
      </c>
      <c r="B329" s="704">
        <v>2208</v>
      </c>
      <c r="C329" s="704" t="s">
        <v>577</v>
      </c>
      <c r="D329" s="704" t="s">
        <v>526</v>
      </c>
      <c r="E329" s="704">
        <v>1</v>
      </c>
      <c r="F329" s="704">
        <v>100</v>
      </c>
      <c r="H329">
        <f t="shared" si="72"/>
        <v>2208</v>
      </c>
      <c r="I329" t="str">
        <f t="shared" si="73"/>
        <v>Greater Sydney</v>
      </c>
      <c r="P329" s="734"/>
      <c r="Q329" s="734"/>
      <c r="R329" s="734"/>
      <c r="S329" s="734"/>
      <c r="T329" s="734"/>
      <c r="U329" s="734"/>
      <c r="V329" s="734"/>
      <c r="W329" s="734"/>
      <c r="X329" s="734"/>
      <c r="Y329" s="734"/>
      <c r="Z329" s="734"/>
      <c r="AA329" s="734"/>
      <c r="AB329" s="734"/>
      <c r="AC329" s="734"/>
    </row>
    <row r="330" spans="1:29" x14ac:dyDescent="0.2">
      <c r="A330" s="704">
        <v>2209</v>
      </c>
      <c r="B330" s="704">
        <v>2209</v>
      </c>
      <c r="C330" s="704" t="s">
        <v>577</v>
      </c>
      <c r="D330" s="704" t="s">
        <v>526</v>
      </c>
      <c r="E330" s="704">
        <v>1</v>
      </c>
      <c r="F330" s="704">
        <v>100</v>
      </c>
      <c r="H330">
        <f t="shared" si="72"/>
        <v>2209</v>
      </c>
      <c r="I330" t="str">
        <f t="shared" si="73"/>
        <v>Greater Sydney</v>
      </c>
      <c r="P330" s="734"/>
      <c r="Q330" s="734"/>
      <c r="R330" s="734"/>
      <c r="S330" s="734"/>
      <c r="T330" s="734"/>
      <c r="U330" s="734"/>
      <c r="V330" s="734"/>
      <c r="W330" s="734"/>
      <c r="X330" s="734"/>
      <c r="Y330" s="734"/>
      <c r="Z330" s="734"/>
      <c r="AA330" s="734"/>
      <c r="AB330" s="734"/>
      <c r="AC330" s="734"/>
    </row>
    <row r="331" spans="1:29" x14ac:dyDescent="0.2">
      <c r="A331" s="704">
        <v>2210</v>
      </c>
      <c r="B331" s="704">
        <v>2210</v>
      </c>
      <c r="C331" s="704" t="s">
        <v>577</v>
      </c>
      <c r="D331" s="704" t="s">
        <v>526</v>
      </c>
      <c r="E331" s="704">
        <v>0.99663100000000004</v>
      </c>
      <c r="F331" s="704">
        <v>99.6631</v>
      </c>
      <c r="H331">
        <f t="shared" si="72"/>
        <v>2210</v>
      </c>
      <c r="I331" t="str">
        <f t="shared" si="73"/>
        <v>Greater Sydney</v>
      </c>
      <c r="P331" s="734"/>
      <c r="Q331" s="734"/>
      <c r="R331" s="734"/>
      <c r="S331" s="734"/>
      <c r="T331" s="734"/>
      <c r="U331" s="734"/>
      <c r="V331" s="734"/>
      <c r="W331" s="734"/>
      <c r="X331" s="734"/>
      <c r="Y331" s="734"/>
      <c r="Z331" s="734"/>
      <c r="AA331" s="734"/>
      <c r="AB331" s="734"/>
      <c r="AC331" s="734"/>
    </row>
    <row r="332" spans="1:29" x14ac:dyDescent="0.2">
      <c r="A332" s="704">
        <v>2211</v>
      </c>
      <c r="B332" s="704">
        <v>2211</v>
      </c>
      <c r="C332" s="704" t="s">
        <v>577</v>
      </c>
      <c r="D332" s="704" t="s">
        <v>526</v>
      </c>
      <c r="E332" s="704">
        <v>0.99804000000000004</v>
      </c>
      <c r="F332" s="704">
        <v>99.804000000000002</v>
      </c>
      <c r="H332">
        <f t="shared" si="72"/>
        <v>2211</v>
      </c>
      <c r="I332" t="str">
        <f t="shared" si="73"/>
        <v>Greater Sydney</v>
      </c>
      <c r="P332" s="734"/>
      <c r="Q332" s="734"/>
      <c r="R332" s="734"/>
      <c r="S332" s="734"/>
      <c r="T332" s="734"/>
      <c r="U332" s="734"/>
      <c r="V332" s="734"/>
      <c r="W332" s="734"/>
      <c r="X332" s="734"/>
      <c r="Y332" s="734"/>
      <c r="Z332" s="734"/>
      <c r="AA332" s="734"/>
      <c r="AB332" s="734"/>
      <c r="AC332" s="734"/>
    </row>
    <row r="333" spans="1:29" x14ac:dyDescent="0.2">
      <c r="A333" s="704">
        <v>2212</v>
      </c>
      <c r="B333" s="704">
        <v>2212</v>
      </c>
      <c r="C333" s="704" t="s">
        <v>577</v>
      </c>
      <c r="D333" s="704" t="s">
        <v>526</v>
      </c>
      <c r="E333" s="704">
        <v>1</v>
      </c>
      <c r="F333" s="704">
        <v>100</v>
      </c>
      <c r="H333">
        <f t="shared" si="72"/>
        <v>2212</v>
      </c>
      <c r="I333" t="str">
        <f t="shared" si="73"/>
        <v>Greater Sydney</v>
      </c>
      <c r="P333" s="734"/>
      <c r="Q333" s="734"/>
      <c r="R333" s="734"/>
      <c r="S333" s="734"/>
      <c r="T333" s="734"/>
      <c r="U333" s="734"/>
      <c r="V333" s="734"/>
      <c r="W333" s="734"/>
      <c r="X333" s="734"/>
      <c r="Y333" s="734"/>
      <c r="Z333" s="734"/>
      <c r="AA333" s="734"/>
      <c r="AB333" s="734"/>
      <c r="AC333" s="734"/>
    </row>
    <row r="334" spans="1:29" x14ac:dyDescent="0.2">
      <c r="A334" s="704">
        <v>2213</v>
      </c>
      <c r="B334" s="704">
        <v>2213</v>
      </c>
      <c r="C334" s="704" t="s">
        <v>577</v>
      </c>
      <c r="D334" s="704" t="s">
        <v>526</v>
      </c>
      <c r="E334" s="704">
        <v>1</v>
      </c>
      <c r="F334" s="704">
        <v>100</v>
      </c>
      <c r="H334">
        <f t="shared" si="72"/>
        <v>2213</v>
      </c>
      <c r="I334" t="str">
        <f t="shared" si="73"/>
        <v>Greater Sydney</v>
      </c>
      <c r="P334" s="734"/>
      <c r="Q334" s="734"/>
      <c r="R334" s="734"/>
      <c r="S334" s="734"/>
      <c r="T334" s="734"/>
      <c r="U334" s="734"/>
      <c r="V334" s="734"/>
      <c r="W334" s="734"/>
      <c r="X334" s="734"/>
      <c r="Y334" s="734"/>
      <c r="Z334" s="734"/>
      <c r="AA334" s="734"/>
      <c r="AB334" s="734"/>
      <c r="AC334" s="734"/>
    </row>
    <row r="335" spans="1:29" x14ac:dyDescent="0.2">
      <c r="A335" s="704">
        <v>2214</v>
      </c>
      <c r="B335" s="704">
        <v>2214</v>
      </c>
      <c r="C335" s="704" t="s">
        <v>577</v>
      </c>
      <c r="D335" s="704" t="s">
        <v>526</v>
      </c>
      <c r="E335" s="704">
        <v>1</v>
      </c>
      <c r="F335" s="704">
        <v>100</v>
      </c>
      <c r="H335">
        <f t="shared" si="72"/>
        <v>2214</v>
      </c>
      <c r="I335" t="str">
        <f t="shared" si="73"/>
        <v>Greater Sydney</v>
      </c>
      <c r="P335" s="734"/>
      <c r="Q335" s="734"/>
      <c r="R335" s="734"/>
      <c r="S335" s="734"/>
      <c r="T335" s="734"/>
      <c r="U335" s="734"/>
      <c r="V335" s="734"/>
      <c r="W335" s="734"/>
      <c r="X335" s="734"/>
      <c r="Y335" s="734"/>
      <c r="Z335" s="734"/>
      <c r="AA335" s="734"/>
      <c r="AB335" s="734"/>
      <c r="AC335" s="734"/>
    </row>
    <row r="336" spans="1:29" x14ac:dyDescent="0.2">
      <c r="A336" s="704">
        <v>2216</v>
      </c>
      <c r="B336" s="704">
        <v>2216</v>
      </c>
      <c r="C336" s="704" t="s">
        <v>577</v>
      </c>
      <c r="D336" s="704" t="s">
        <v>526</v>
      </c>
      <c r="E336" s="704">
        <v>1</v>
      </c>
      <c r="F336" s="704">
        <v>100</v>
      </c>
      <c r="H336">
        <f t="shared" si="72"/>
        <v>2216</v>
      </c>
      <c r="I336" t="str">
        <f t="shared" si="73"/>
        <v>Greater Sydney</v>
      </c>
      <c r="P336" s="734"/>
      <c r="Q336" s="734"/>
      <c r="R336" s="734"/>
      <c r="S336" s="734"/>
      <c r="T336" s="734"/>
      <c r="U336" s="734"/>
      <c r="V336" s="734"/>
      <c r="W336" s="734"/>
      <c r="X336" s="734"/>
      <c r="Y336" s="734"/>
      <c r="Z336" s="734"/>
      <c r="AA336" s="734"/>
      <c r="AB336" s="734"/>
      <c r="AC336" s="734"/>
    </row>
    <row r="337" spans="1:29" x14ac:dyDescent="0.2">
      <c r="A337" s="704">
        <v>2217</v>
      </c>
      <c r="B337" s="704">
        <v>2217</v>
      </c>
      <c r="C337" s="704" t="s">
        <v>577</v>
      </c>
      <c r="D337" s="704" t="s">
        <v>526</v>
      </c>
      <c r="E337" s="704">
        <v>0.999996</v>
      </c>
      <c r="F337" s="704">
        <v>99.999600000000001</v>
      </c>
      <c r="H337">
        <f t="shared" si="72"/>
        <v>2217</v>
      </c>
      <c r="I337" t="str">
        <f t="shared" si="73"/>
        <v>Greater Sydney</v>
      </c>
      <c r="P337" s="734"/>
      <c r="Q337" s="734"/>
      <c r="R337" s="734"/>
      <c r="S337" s="734"/>
      <c r="T337" s="734"/>
      <c r="U337" s="734"/>
      <c r="V337" s="734"/>
      <c r="W337" s="734"/>
      <c r="X337" s="734"/>
      <c r="Y337" s="734"/>
      <c r="Z337" s="734"/>
      <c r="AA337" s="734"/>
      <c r="AB337" s="734"/>
      <c r="AC337" s="734"/>
    </row>
    <row r="338" spans="1:29" x14ac:dyDescent="0.2">
      <c r="A338" s="704">
        <v>2218</v>
      </c>
      <c r="B338" s="704">
        <v>2218</v>
      </c>
      <c r="C338" s="704" t="s">
        <v>577</v>
      </c>
      <c r="D338" s="704" t="s">
        <v>526</v>
      </c>
      <c r="E338" s="704">
        <v>1</v>
      </c>
      <c r="F338" s="704">
        <v>100</v>
      </c>
      <c r="H338">
        <f t="shared" si="72"/>
        <v>2218</v>
      </c>
      <c r="I338" t="str">
        <f t="shared" si="73"/>
        <v>Greater Sydney</v>
      </c>
      <c r="P338" s="734"/>
      <c r="Q338" s="734"/>
      <c r="R338" s="734"/>
      <c r="S338" s="734"/>
      <c r="T338" s="734"/>
      <c r="U338" s="734"/>
      <c r="V338" s="734"/>
      <c r="W338" s="734"/>
      <c r="X338" s="734"/>
      <c r="Y338" s="734"/>
      <c r="Z338" s="734"/>
      <c r="AA338" s="734"/>
      <c r="AB338" s="734"/>
      <c r="AC338" s="734"/>
    </row>
    <row r="339" spans="1:29" x14ac:dyDescent="0.2">
      <c r="A339" s="704">
        <v>2219</v>
      </c>
      <c r="B339" s="704">
        <v>2219</v>
      </c>
      <c r="C339" s="704" t="s">
        <v>577</v>
      </c>
      <c r="D339" s="704" t="s">
        <v>526</v>
      </c>
      <c r="E339" s="704">
        <v>1</v>
      </c>
      <c r="F339" s="704">
        <v>100</v>
      </c>
      <c r="H339">
        <f t="shared" si="72"/>
        <v>2219</v>
      </c>
      <c r="I339" t="str">
        <f t="shared" si="73"/>
        <v>Greater Sydney</v>
      </c>
      <c r="P339" s="734"/>
      <c r="Q339" s="734"/>
      <c r="R339" s="734"/>
      <c r="S339" s="734"/>
      <c r="T339" s="734"/>
      <c r="U339" s="734"/>
      <c r="V339" s="734"/>
      <c r="W339" s="734"/>
      <c r="X339" s="734"/>
      <c r="Y339" s="734"/>
      <c r="Z339" s="734"/>
      <c r="AA339" s="734"/>
      <c r="AB339" s="734"/>
      <c r="AC339" s="734"/>
    </row>
    <row r="340" spans="1:29" x14ac:dyDescent="0.2">
      <c r="A340" s="704">
        <v>2220</v>
      </c>
      <c r="B340" s="704">
        <v>2220</v>
      </c>
      <c r="C340" s="704" t="s">
        <v>577</v>
      </c>
      <c r="D340" s="704" t="s">
        <v>526</v>
      </c>
      <c r="E340" s="704">
        <v>1</v>
      </c>
      <c r="F340" s="704">
        <v>100</v>
      </c>
      <c r="H340">
        <f t="shared" si="72"/>
        <v>2220</v>
      </c>
      <c r="I340" t="str">
        <f t="shared" si="73"/>
        <v>Greater Sydney</v>
      </c>
      <c r="P340" s="734"/>
      <c r="Q340" s="734"/>
      <c r="R340" s="734"/>
      <c r="S340" s="734"/>
      <c r="T340" s="734"/>
      <c r="U340" s="734"/>
      <c r="V340" s="734"/>
      <c r="W340" s="734"/>
      <c r="X340" s="734"/>
      <c r="Y340" s="734"/>
      <c r="Z340" s="734"/>
      <c r="AA340" s="734"/>
      <c r="AB340" s="734"/>
      <c r="AC340" s="734"/>
    </row>
    <row r="341" spans="1:29" x14ac:dyDescent="0.2">
      <c r="A341" s="704">
        <v>2221</v>
      </c>
      <c r="B341" s="704">
        <v>2221</v>
      </c>
      <c r="C341" s="704" t="s">
        <v>577</v>
      </c>
      <c r="D341" s="704" t="s">
        <v>526</v>
      </c>
      <c r="E341" s="704">
        <v>0.99004899999999996</v>
      </c>
      <c r="F341" s="704">
        <v>99.004900000000006</v>
      </c>
      <c r="H341">
        <f t="shared" si="72"/>
        <v>2221</v>
      </c>
      <c r="I341" t="str">
        <f t="shared" si="73"/>
        <v>Greater Sydney</v>
      </c>
      <c r="P341" s="734"/>
      <c r="Q341" s="734"/>
      <c r="R341" s="734"/>
      <c r="S341" s="734"/>
      <c r="T341" s="734"/>
      <c r="U341" s="734"/>
      <c r="V341" s="734"/>
      <c r="W341" s="734"/>
      <c r="X341" s="734"/>
      <c r="Y341" s="734"/>
      <c r="Z341" s="734"/>
      <c r="AA341" s="734"/>
      <c r="AB341" s="734"/>
      <c r="AC341" s="734"/>
    </row>
    <row r="342" spans="1:29" x14ac:dyDescent="0.2">
      <c r="A342" s="704">
        <v>2222</v>
      </c>
      <c r="B342" s="704">
        <v>2222</v>
      </c>
      <c r="C342" s="704" t="s">
        <v>577</v>
      </c>
      <c r="D342" s="704" t="s">
        <v>526</v>
      </c>
      <c r="E342" s="704">
        <v>1</v>
      </c>
      <c r="F342" s="704">
        <v>100</v>
      </c>
      <c r="H342">
        <f t="shared" si="72"/>
        <v>2222</v>
      </c>
      <c r="I342" t="str">
        <f t="shared" si="73"/>
        <v>Greater Sydney</v>
      </c>
      <c r="P342" s="734"/>
      <c r="Q342" s="734"/>
      <c r="R342" s="734"/>
      <c r="S342" s="734"/>
      <c r="T342" s="734"/>
      <c r="U342" s="734"/>
      <c r="V342" s="734"/>
      <c r="W342" s="734"/>
      <c r="X342" s="734"/>
      <c r="Y342" s="734"/>
      <c r="Z342" s="734"/>
      <c r="AA342" s="734"/>
      <c r="AB342" s="734"/>
      <c r="AC342" s="734"/>
    </row>
    <row r="343" spans="1:29" x14ac:dyDescent="0.2">
      <c r="A343" s="704">
        <v>2223</v>
      </c>
      <c r="B343" s="704">
        <v>2223</v>
      </c>
      <c r="C343" s="704" t="s">
        <v>577</v>
      </c>
      <c r="D343" s="704" t="s">
        <v>526</v>
      </c>
      <c r="E343" s="704">
        <v>0.99121700000000001</v>
      </c>
      <c r="F343" s="704">
        <v>99.121700000000004</v>
      </c>
      <c r="H343">
        <f t="shared" si="72"/>
        <v>2223</v>
      </c>
      <c r="I343" t="str">
        <f t="shared" si="73"/>
        <v>Greater Sydney</v>
      </c>
      <c r="P343" s="734"/>
      <c r="Q343" s="734"/>
      <c r="R343" s="734"/>
      <c r="S343" s="734"/>
      <c r="T343" s="734"/>
      <c r="U343" s="734"/>
      <c r="V343" s="734"/>
      <c r="W343" s="734"/>
      <c r="X343" s="734"/>
      <c r="Y343" s="734"/>
      <c r="Z343" s="734"/>
      <c r="AA343" s="734"/>
      <c r="AB343" s="734"/>
      <c r="AC343" s="734"/>
    </row>
    <row r="344" spans="1:29" x14ac:dyDescent="0.2">
      <c r="A344" s="704">
        <v>2224</v>
      </c>
      <c r="B344" s="704">
        <v>2224</v>
      </c>
      <c r="C344" s="704" t="s">
        <v>577</v>
      </c>
      <c r="D344" s="704" t="s">
        <v>526</v>
      </c>
      <c r="E344" s="704">
        <v>0.98338899999999996</v>
      </c>
      <c r="F344" s="704">
        <v>98.338800000000006</v>
      </c>
      <c r="H344">
        <f t="shared" si="72"/>
        <v>2224</v>
      </c>
      <c r="I344" t="str">
        <f t="shared" si="73"/>
        <v>Greater Sydney</v>
      </c>
      <c r="P344" s="734"/>
      <c r="Q344" s="734"/>
      <c r="R344" s="734"/>
      <c r="S344" s="734"/>
      <c r="T344" s="734"/>
      <c r="U344" s="734"/>
      <c r="V344" s="734"/>
      <c r="W344" s="734"/>
      <c r="X344" s="734"/>
      <c r="Y344" s="734"/>
      <c r="Z344" s="734"/>
      <c r="AA344" s="734"/>
      <c r="AB344" s="734"/>
      <c r="AC344" s="734"/>
    </row>
    <row r="345" spans="1:29" x14ac:dyDescent="0.2">
      <c r="A345" s="704">
        <v>2225</v>
      </c>
      <c r="B345" s="704">
        <v>2225</v>
      </c>
      <c r="C345" s="704" t="s">
        <v>577</v>
      </c>
      <c r="D345" s="704" t="s">
        <v>526</v>
      </c>
      <c r="E345" s="704">
        <v>0.95247400000000004</v>
      </c>
      <c r="F345" s="704">
        <v>95.247399999999999</v>
      </c>
      <c r="H345">
        <f t="shared" si="72"/>
        <v>2225</v>
      </c>
      <c r="I345" t="str">
        <f t="shared" si="73"/>
        <v>Greater Sydney</v>
      </c>
      <c r="P345" s="734"/>
      <c r="Q345" s="734"/>
      <c r="R345" s="734"/>
      <c r="S345" s="734"/>
      <c r="T345" s="734"/>
      <c r="U345" s="734"/>
      <c r="V345" s="734"/>
      <c r="W345" s="734"/>
      <c r="X345" s="734"/>
      <c r="Y345" s="734"/>
      <c r="Z345" s="734"/>
      <c r="AA345" s="734"/>
      <c r="AB345" s="734"/>
      <c r="AC345" s="734"/>
    </row>
    <row r="346" spans="1:29" x14ac:dyDescent="0.2">
      <c r="A346" s="704">
        <v>2226</v>
      </c>
      <c r="B346" s="704">
        <v>2226</v>
      </c>
      <c r="C346" s="704" t="s">
        <v>577</v>
      </c>
      <c r="D346" s="704" t="s">
        <v>526</v>
      </c>
      <c r="E346" s="704">
        <v>0.99671299999999996</v>
      </c>
      <c r="F346" s="704">
        <v>99.671300000000002</v>
      </c>
      <c r="H346">
        <f t="shared" si="72"/>
        <v>2226</v>
      </c>
      <c r="I346" t="str">
        <f t="shared" si="73"/>
        <v>Greater Sydney</v>
      </c>
      <c r="P346" s="734"/>
      <c r="Q346" s="734"/>
      <c r="R346" s="734"/>
      <c r="S346" s="734"/>
      <c r="T346" s="734"/>
      <c r="U346" s="734"/>
      <c r="V346" s="734"/>
      <c r="W346" s="734"/>
      <c r="X346" s="734"/>
      <c r="Y346" s="734"/>
      <c r="Z346" s="734"/>
      <c r="AA346" s="734"/>
      <c r="AB346" s="734"/>
      <c r="AC346" s="734"/>
    </row>
    <row r="347" spans="1:29" x14ac:dyDescent="0.2">
      <c r="A347" s="704">
        <v>2227</v>
      </c>
      <c r="B347" s="704">
        <v>2227</v>
      </c>
      <c r="C347" s="704" t="s">
        <v>577</v>
      </c>
      <c r="D347" s="704" t="s">
        <v>526</v>
      </c>
      <c r="E347" s="704">
        <v>0.99267300000000003</v>
      </c>
      <c r="F347" s="704">
        <v>99.267300000000006</v>
      </c>
      <c r="H347">
        <f t="shared" si="72"/>
        <v>2227</v>
      </c>
      <c r="I347" t="str">
        <f t="shared" si="73"/>
        <v>Greater Sydney</v>
      </c>
      <c r="P347" s="734"/>
      <c r="Q347" s="734"/>
      <c r="R347" s="734"/>
      <c r="S347" s="734"/>
      <c r="T347" s="734"/>
      <c r="U347" s="734"/>
      <c r="V347" s="734"/>
      <c r="W347" s="734"/>
      <c r="X347" s="734"/>
      <c r="Y347" s="734"/>
      <c r="Z347" s="734"/>
      <c r="AA347" s="734"/>
      <c r="AB347" s="734"/>
      <c r="AC347" s="734"/>
    </row>
    <row r="348" spans="1:29" x14ac:dyDescent="0.2">
      <c r="A348" s="704">
        <v>2228</v>
      </c>
      <c r="B348" s="704">
        <v>2228</v>
      </c>
      <c r="C348" s="704" t="s">
        <v>577</v>
      </c>
      <c r="D348" s="704" t="s">
        <v>526</v>
      </c>
      <c r="E348" s="704">
        <v>0.99391600000000002</v>
      </c>
      <c r="F348" s="704">
        <v>99.391599999999997</v>
      </c>
      <c r="H348">
        <f t="shared" si="72"/>
        <v>2228</v>
      </c>
      <c r="I348" t="str">
        <f t="shared" si="73"/>
        <v>Greater Sydney</v>
      </c>
      <c r="P348" s="734"/>
      <c r="Q348" s="734"/>
      <c r="R348" s="734"/>
      <c r="S348" s="734"/>
      <c r="T348" s="734"/>
      <c r="U348" s="734"/>
      <c r="V348" s="734"/>
      <c r="W348" s="734"/>
      <c r="X348" s="734"/>
      <c r="Y348" s="734"/>
      <c r="Z348" s="734"/>
      <c r="AA348" s="734"/>
      <c r="AB348" s="734"/>
      <c r="AC348" s="734"/>
    </row>
    <row r="349" spans="1:29" x14ac:dyDescent="0.2">
      <c r="A349" s="704">
        <v>2229</v>
      </c>
      <c r="B349" s="704">
        <v>2229</v>
      </c>
      <c r="C349" s="704" t="s">
        <v>577</v>
      </c>
      <c r="D349" s="704" t="s">
        <v>526</v>
      </c>
      <c r="E349" s="704">
        <v>0.99268999999999996</v>
      </c>
      <c r="F349" s="704">
        <v>99.269000000000005</v>
      </c>
      <c r="H349">
        <f t="shared" si="72"/>
        <v>2229</v>
      </c>
      <c r="I349" t="str">
        <f t="shared" si="73"/>
        <v>Greater Sydney</v>
      </c>
      <c r="P349" s="734"/>
      <c r="Q349" s="734"/>
      <c r="R349" s="734"/>
      <c r="S349" s="734"/>
      <c r="T349" s="734"/>
      <c r="U349" s="734"/>
      <c r="V349" s="734"/>
      <c r="W349" s="734"/>
      <c r="X349" s="734"/>
      <c r="Y349" s="734"/>
      <c r="Z349" s="734"/>
      <c r="AA349" s="734"/>
      <c r="AB349" s="734"/>
      <c r="AC349" s="734"/>
    </row>
    <row r="350" spans="1:29" x14ac:dyDescent="0.2">
      <c r="A350" s="704">
        <v>2230</v>
      </c>
      <c r="B350" s="704">
        <v>2230</v>
      </c>
      <c r="C350" s="704" t="s">
        <v>577</v>
      </c>
      <c r="D350" s="704" t="s">
        <v>526</v>
      </c>
      <c r="E350" s="704">
        <v>0.99076799999999998</v>
      </c>
      <c r="F350" s="704">
        <v>99.076800000000006</v>
      </c>
      <c r="H350">
        <f t="shared" si="72"/>
        <v>2230</v>
      </c>
      <c r="I350" t="str">
        <f t="shared" si="73"/>
        <v>Greater Sydney</v>
      </c>
      <c r="P350" s="734"/>
      <c r="Q350" s="734"/>
      <c r="R350" s="734"/>
      <c r="S350" s="734"/>
      <c r="T350" s="734"/>
      <c r="U350" s="734"/>
      <c r="V350" s="734"/>
      <c r="W350" s="734"/>
      <c r="X350" s="734"/>
      <c r="Y350" s="734"/>
      <c r="Z350" s="734"/>
      <c r="AA350" s="734"/>
      <c r="AB350" s="734"/>
      <c r="AC350" s="734"/>
    </row>
    <row r="351" spans="1:29" x14ac:dyDescent="0.2">
      <c r="A351" s="704">
        <v>2231</v>
      </c>
      <c r="B351" s="704">
        <v>2231</v>
      </c>
      <c r="C351" s="704" t="s">
        <v>577</v>
      </c>
      <c r="D351" s="704" t="s">
        <v>526</v>
      </c>
      <c r="E351" s="704">
        <v>0.99999899999999997</v>
      </c>
      <c r="F351" s="704">
        <v>99.999899999999997</v>
      </c>
      <c r="H351">
        <f t="shared" si="72"/>
        <v>2231</v>
      </c>
      <c r="I351" t="str">
        <f t="shared" si="73"/>
        <v>Greater Sydney</v>
      </c>
      <c r="P351" s="734"/>
      <c r="Q351" s="734"/>
      <c r="R351" s="734"/>
      <c r="S351" s="734"/>
      <c r="T351" s="734"/>
      <c r="U351" s="734"/>
      <c r="V351" s="734"/>
      <c r="W351" s="734"/>
      <c r="X351" s="734"/>
      <c r="Y351" s="734"/>
      <c r="Z351" s="734"/>
      <c r="AA351" s="734"/>
      <c r="AB351" s="734"/>
      <c r="AC351" s="734"/>
    </row>
    <row r="352" spans="1:29" x14ac:dyDescent="0.2">
      <c r="A352" s="704">
        <v>2232</v>
      </c>
      <c r="B352" s="704">
        <v>2232</v>
      </c>
      <c r="C352" s="704" t="s">
        <v>577</v>
      </c>
      <c r="D352" s="704" t="s">
        <v>526</v>
      </c>
      <c r="E352" s="704">
        <v>0.99732299999999996</v>
      </c>
      <c r="F352" s="704">
        <v>99.732299999999995</v>
      </c>
      <c r="H352">
        <f t="shared" si="72"/>
        <v>2232</v>
      </c>
      <c r="I352" t="str">
        <f t="shared" si="73"/>
        <v>Greater Sydney</v>
      </c>
      <c r="P352" s="734"/>
      <c r="Q352" s="734"/>
      <c r="R352" s="734"/>
      <c r="S352" s="734"/>
      <c r="T352" s="734"/>
      <c r="U352" s="734"/>
      <c r="V352" s="734"/>
      <c r="W352" s="734"/>
      <c r="X352" s="734"/>
      <c r="Y352" s="734"/>
      <c r="Z352" s="734"/>
      <c r="AA352" s="734"/>
      <c r="AB352" s="734"/>
      <c r="AC352" s="734"/>
    </row>
    <row r="353" spans="1:29" x14ac:dyDescent="0.2">
      <c r="A353" s="704">
        <v>2233</v>
      </c>
      <c r="B353" s="704">
        <v>2233</v>
      </c>
      <c r="C353" s="704" t="s">
        <v>577</v>
      </c>
      <c r="D353" s="704" t="s">
        <v>526</v>
      </c>
      <c r="E353" s="704">
        <v>1</v>
      </c>
      <c r="F353" s="704">
        <v>100</v>
      </c>
      <c r="H353">
        <f t="shared" si="72"/>
        <v>2233</v>
      </c>
      <c r="I353" t="str">
        <f t="shared" si="73"/>
        <v>Greater Sydney</v>
      </c>
      <c r="P353" s="734"/>
      <c r="Q353" s="734"/>
      <c r="R353" s="734"/>
      <c r="S353" s="734"/>
      <c r="T353" s="734"/>
      <c r="U353" s="734"/>
      <c r="V353" s="734"/>
      <c r="W353" s="734"/>
      <c r="X353" s="734"/>
      <c r="Y353" s="734"/>
      <c r="Z353" s="734"/>
      <c r="AA353" s="734"/>
      <c r="AB353" s="734"/>
      <c r="AC353" s="734"/>
    </row>
    <row r="354" spans="1:29" x14ac:dyDescent="0.2">
      <c r="A354" s="704">
        <v>2234</v>
      </c>
      <c r="B354" s="704">
        <v>2234</v>
      </c>
      <c r="C354" s="704" t="s">
        <v>577</v>
      </c>
      <c r="D354" s="704" t="s">
        <v>526</v>
      </c>
      <c r="E354" s="704">
        <v>0.99739699999999998</v>
      </c>
      <c r="F354" s="704">
        <v>99.739699999999999</v>
      </c>
      <c r="H354">
        <f t="shared" si="72"/>
        <v>2234</v>
      </c>
      <c r="I354" t="str">
        <f t="shared" si="73"/>
        <v>Greater Sydney</v>
      </c>
      <c r="P354" s="734"/>
      <c r="Q354" s="734"/>
      <c r="R354" s="734"/>
      <c r="S354" s="734"/>
      <c r="T354" s="734"/>
      <c r="U354" s="734"/>
      <c r="V354" s="734"/>
      <c r="W354" s="734"/>
      <c r="X354" s="734"/>
      <c r="Y354" s="734"/>
      <c r="Z354" s="734"/>
      <c r="AA354" s="734"/>
      <c r="AB354" s="734"/>
      <c r="AC354" s="734"/>
    </row>
    <row r="355" spans="1:29" x14ac:dyDescent="0.2">
      <c r="A355" s="704">
        <v>2250</v>
      </c>
      <c r="B355" s="704">
        <v>2250</v>
      </c>
      <c r="C355" s="704" t="s">
        <v>577</v>
      </c>
      <c r="D355" s="704" t="s">
        <v>526</v>
      </c>
      <c r="E355" s="704">
        <v>0.994363</v>
      </c>
      <c r="F355" s="704">
        <v>99.436400000000006</v>
      </c>
      <c r="H355">
        <f t="shared" si="72"/>
        <v>2250</v>
      </c>
      <c r="I355" t="str">
        <f t="shared" si="73"/>
        <v>Greater Sydney</v>
      </c>
      <c r="P355" s="734"/>
      <c r="Q355" s="734"/>
      <c r="R355" s="734"/>
      <c r="S355" s="734"/>
      <c r="T355" s="734"/>
      <c r="U355" s="734"/>
      <c r="V355" s="734"/>
      <c r="W355" s="734"/>
      <c r="X355" s="734"/>
      <c r="Y355" s="734"/>
      <c r="Z355" s="734"/>
      <c r="AA355" s="734"/>
      <c r="AB355" s="734"/>
      <c r="AC355" s="734"/>
    </row>
    <row r="356" spans="1:29" x14ac:dyDescent="0.2">
      <c r="A356" s="704">
        <v>2250</v>
      </c>
      <c r="B356" s="704">
        <v>2250</v>
      </c>
      <c r="C356" s="704" t="s">
        <v>578</v>
      </c>
      <c r="D356" s="704" t="s">
        <v>530</v>
      </c>
      <c r="E356" s="704">
        <v>2.5186000000000002E-3</v>
      </c>
      <c r="F356" s="704">
        <v>0.251863</v>
      </c>
      <c r="H356">
        <f t="shared" si="72"/>
        <v>2250</v>
      </c>
      <c r="I356" t="str">
        <f t="shared" si="73"/>
        <v>Rest of NSW</v>
      </c>
      <c r="P356" s="734"/>
      <c r="Q356" s="734"/>
      <c r="R356" s="734"/>
      <c r="S356" s="734"/>
      <c r="T356" s="734"/>
      <c r="U356" s="734"/>
      <c r="V356" s="734"/>
      <c r="W356" s="734"/>
      <c r="X356" s="734"/>
      <c r="Y356" s="734"/>
      <c r="Z356" s="734"/>
      <c r="AA356" s="734"/>
      <c r="AB356" s="734"/>
      <c r="AC356" s="734"/>
    </row>
    <row r="357" spans="1:29" x14ac:dyDescent="0.2">
      <c r="A357" s="704">
        <v>2251</v>
      </c>
      <c r="B357" s="704">
        <v>2251</v>
      </c>
      <c r="C357" s="704" t="s">
        <v>577</v>
      </c>
      <c r="D357" s="704" t="s">
        <v>526</v>
      </c>
      <c r="E357" s="704">
        <v>0.99437200000000003</v>
      </c>
      <c r="F357" s="704">
        <v>99.437200000000004</v>
      </c>
      <c r="H357">
        <f t="shared" si="72"/>
        <v>2251</v>
      </c>
      <c r="I357" t="str">
        <f t="shared" si="73"/>
        <v>Greater Sydney</v>
      </c>
      <c r="P357" s="734"/>
      <c r="Q357" s="734"/>
      <c r="R357" s="734"/>
      <c r="S357" s="734"/>
      <c r="T357" s="734"/>
      <c r="U357" s="734"/>
      <c r="V357" s="734"/>
      <c r="W357" s="734"/>
      <c r="X357" s="734"/>
      <c r="Y357" s="734"/>
      <c r="Z357" s="734"/>
      <c r="AA357" s="734"/>
      <c r="AB357" s="734"/>
      <c r="AC357" s="734"/>
    </row>
    <row r="358" spans="1:29" x14ac:dyDescent="0.2">
      <c r="A358" s="704">
        <v>2256</v>
      </c>
      <c r="B358" s="704">
        <v>2256</v>
      </c>
      <c r="C358" s="704" t="s">
        <v>577</v>
      </c>
      <c r="D358" s="704" t="s">
        <v>526</v>
      </c>
      <c r="E358" s="704">
        <v>0.994946</v>
      </c>
      <c r="F358" s="704">
        <v>99.494600000000005</v>
      </c>
      <c r="H358">
        <f t="shared" si="72"/>
        <v>2256</v>
      </c>
      <c r="I358" t="str">
        <f t="shared" si="73"/>
        <v>Greater Sydney</v>
      </c>
      <c r="P358" s="734"/>
      <c r="Q358" s="734"/>
      <c r="R358" s="734"/>
      <c r="S358" s="734"/>
      <c r="T358" s="734"/>
      <c r="U358" s="734"/>
      <c r="V358" s="734"/>
      <c r="W358" s="734"/>
      <c r="X358" s="734"/>
      <c r="Y358" s="734"/>
      <c r="Z358" s="734"/>
      <c r="AA358" s="734"/>
      <c r="AB358" s="734"/>
      <c r="AC358" s="734"/>
    </row>
    <row r="359" spans="1:29" x14ac:dyDescent="0.2">
      <c r="A359" s="704">
        <v>2257</v>
      </c>
      <c r="B359" s="704">
        <v>2257</v>
      </c>
      <c r="C359" s="704" t="s">
        <v>577</v>
      </c>
      <c r="D359" s="704" t="s">
        <v>526</v>
      </c>
      <c r="E359" s="704">
        <v>0.98989099999999997</v>
      </c>
      <c r="F359" s="704">
        <v>98.989099999999993</v>
      </c>
      <c r="H359">
        <f t="shared" si="72"/>
        <v>2257</v>
      </c>
      <c r="I359" t="str">
        <f t="shared" si="73"/>
        <v>Greater Sydney</v>
      </c>
      <c r="P359" s="734"/>
      <c r="Q359" s="734"/>
      <c r="R359" s="734"/>
      <c r="S359" s="734"/>
      <c r="T359" s="734"/>
      <c r="U359" s="734"/>
      <c r="V359" s="734"/>
      <c r="W359" s="734"/>
      <c r="X359" s="734"/>
      <c r="Y359" s="734"/>
      <c r="Z359" s="734"/>
      <c r="AA359" s="734"/>
      <c r="AB359" s="734"/>
      <c r="AC359" s="734"/>
    </row>
    <row r="360" spans="1:29" x14ac:dyDescent="0.2">
      <c r="A360" s="704">
        <v>2258</v>
      </c>
      <c r="B360" s="704">
        <v>2258</v>
      </c>
      <c r="C360" s="704" t="s">
        <v>577</v>
      </c>
      <c r="D360" s="704" t="s">
        <v>526</v>
      </c>
      <c r="E360" s="704">
        <v>1</v>
      </c>
      <c r="F360" s="704">
        <v>100</v>
      </c>
      <c r="H360">
        <f t="shared" si="72"/>
        <v>2258</v>
      </c>
      <c r="I360" t="str">
        <f t="shared" si="73"/>
        <v>Greater Sydney</v>
      </c>
      <c r="P360" s="734"/>
      <c r="Q360" s="734"/>
      <c r="R360" s="734"/>
      <c r="S360" s="734"/>
      <c r="T360" s="734"/>
      <c r="U360" s="734"/>
      <c r="V360" s="734"/>
      <c r="W360" s="734"/>
      <c r="X360" s="734"/>
      <c r="Y360" s="734"/>
      <c r="Z360" s="734"/>
      <c r="AA360" s="734"/>
      <c r="AB360" s="734"/>
      <c r="AC360" s="734"/>
    </row>
    <row r="361" spans="1:29" x14ac:dyDescent="0.2">
      <c r="A361" s="704">
        <v>2259</v>
      </c>
      <c r="B361" s="704">
        <v>2259</v>
      </c>
      <c r="C361" s="704" t="s">
        <v>577</v>
      </c>
      <c r="D361" s="704" t="s">
        <v>526</v>
      </c>
      <c r="E361" s="704">
        <v>0.93682699999999997</v>
      </c>
      <c r="F361" s="704">
        <v>93.682699999999997</v>
      </c>
      <c r="H361">
        <f t="shared" si="72"/>
        <v>2259</v>
      </c>
      <c r="I361" t="str">
        <f t="shared" si="73"/>
        <v>Greater Sydney</v>
      </c>
      <c r="P361" s="734"/>
      <c r="Q361" s="734"/>
      <c r="R361" s="734"/>
      <c r="S361" s="734"/>
      <c r="T361" s="734"/>
      <c r="U361" s="734"/>
      <c r="V361" s="734"/>
      <c r="W361" s="734"/>
      <c r="X361" s="734"/>
      <c r="Y361" s="734"/>
      <c r="Z361" s="734"/>
      <c r="AA361" s="734"/>
      <c r="AB361" s="734"/>
      <c r="AC361" s="734"/>
    </row>
    <row r="362" spans="1:29" x14ac:dyDescent="0.2">
      <c r="A362" s="704">
        <v>2259</v>
      </c>
      <c r="B362" s="704">
        <v>2259</v>
      </c>
      <c r="C362" s="704" t="s">
        <v>578</v>
      </c>
      <c r="D362" s="704" t="s">
        <v>530</v>
      </c>
      <c r="E362" s="704">
        <v>6.0411100000000002E-2</v>
      </c>
      <c r="F362" s="704">
        <v>6.0411099999999998</v>
      </c>
      <c r="H362">
        <f t="shared" si="72"/>
        <v>2259</v>
      </c>
      <c r="I362" t="str">
        <f t="shared" si="73"/>
        <v>Rest of NSW</v>
      </c>
      <c r="P362" s="734"/>
      <c r="Q362" s="734"/>
      <c r="R362" s="734"/>
      <c r="S362" s="734"/>
      <c r="T362" s="734"/>
      <c r="U362" s="734"/>
      <c r="V362" s="734"/>
      <c r="W362" s="734"/>
      <c r="X362" s="734"/>
      <c r="Y362" s="734"/>
      <c r="Z362" s="734"/>
      <c r="AA362" s="734"/>
      <c r="AB362" s="734"/>
      <c r="AC362" s="734"/>
    </row>
    <row r="363" spans="1:29" x14ac:dyDescent="0.2">
      <c r="A363" s="704">
        <v>2260</v>
      </c>
      <c r="B363" s="704">
        <v>2260</v>
      </c>
      <c r="C363" s="704" t="s">
        <v>577</v>
      </c>
      <c r="D363" s="704" t="s">
        <v>526</v>
      </c>
      <c r="E363" s="704">
        <v>1</v>
      </c>
      <c r="F363" s="704">
        <v>100</v>
      </c>
      <c r="H363">
        <f t="shared" si="72"/>
        <v>2260</v>
      </c>
      <c r="I363" t="str">
        <f t="shared" si="73"/>
        <v>Greater Sydney</v>
      </c>
      <c r="P363" s="734"/>
      <c r="Q363" s="734"/>
      <c r="R363" s="734"/>
      <c r="S363" s="734"/>
      <c r="T363" s="734"/>
      <c r="U363" s="734"/>
      <c r="V363" s="734"/>
      <c r="W363" s="734"/>
      <c r="X363" s="734"/>
      <c r="Y363" s="734"/>
      <c r="Z363" s="734"/>
      <c r="AA363" s="734"/>
      <c r="AB363" s="734"/>
      <c r="AC363" s="734"/>
    </row>
    <row r="364" spans="1:29" x14ac:dyDescent="0.2">
      <c r="A364" s="704">
        <v>2261</v>
      </c>
      <c r="B364" s="704">
        <v>2261</v>
      </c>
      <c r="C364" s="704" t="s">
        <v>577</v>
      </c>
      <c r="D364" s="704" t="s">
        <v>526</v>
      </c>
      <c r="E364" s="704">
        <v>0.99912299999999998</v>
      </c>
      <c r="F364" s="704">
        <v>99.912300000000002</v>
      </c>
      <c r="H364">
        <f t="shared" si="72"/>
        <v>2261</v>
      </c>
      <c r="I364" t="str">
        <f t="shared" si="73"/>
        <v>Greater Sydney</v>
      </c>
      <c r="P364" s="734"/>
      <c r="Q364" s="734"/>
      <c r="R364" s="734"/>
      <c r="S364" s="734"/>
      <c r="T364" s="734"/>
      <c r="U364" s="734"/>
      <c r="V364" s="734"/>
      <c r="W364" s="734"/>
      <c r="X364" s="734"/>
      <c r="Y364" s="734"/>
      <c r="Z364" s="734"/>
      <c r="AA364" s="734"/>
      <c r="AB364" s="734"/>
      <c r="AC364" s="734"/>
    </row>
    <row r="365" spans="1:29" x14ac:dyDescent="0.2">
      <c r="A365" s="704">
        <v>2262</v>
      </c>
      <c r="B365" s="704">
        <v>2262</v>
      </c>
      <c r="C365" s="704" t="s">
        <v>577</v>
      </c>
      <c r="D365" s="704" t="s">
        <v>526</v>
      </c>
      <c r="E365" s="704">
        <v>1</v>
      </c>
      <c r="F365" s="704">
        <v>100</v>
      </c>
      <c r="H365">
        <f t="shared" si="72"/>
        <v>2262</v>
      </c>
      <c r="I365" t="str">
        <f t="shared" si="73"/>
        <v>Greater Sydney</v>
      </c>
      <c r="P365" s="734"/>
      <c r="Q365" s="734"/>
      <c r="R365" s="734"/>
      <c r="S365" s="734"/>
      <c r="T365" s="734"/>
      <c r="U365" s="734"/>
      <c r="V365" s="734"/>
      <c r="W365" s="734"/>
      <c r="X365" s="734"/>
      <c r="Y365" s="734"/>
      <c r="Z365" s="734"/>
      <c r="AA365" s="734"/>
      <c r="AB365" s="734"/>
      <c r="AC365" s="734"/>
    </row>
    <row r="366" spans="1:29" x14ac:dyDescent="0.2">
      <c r="A366" s="704">
        <v>2263</v>
      </c>
      <c r="B366" s="704">
        <v>2263</v>
      </c>
      <c r="C366" s="704" t="s">
        <v>577</v>
      </c>
      <c r="D366" s="704" t="s">
        <v>526</v>
      </c>
      <c r="E366" s="704">
        <v>0.99295900000000004</v>
      </c>
      <c r="F366" s="704">
        <v>99.295900000000003</v>
      </c>
      <c r="H366">
        <f t="shared" si="72"/>
        <v>2263</v>
      </c>
      <c r="I366" t="str">
        <f t="shared" si="73"/>
        <v>Greater Sydney</v>
      </c>
      <c r="P366" s="734"/>
      <c r="Q366" s="734"/>
      <c r="R366" s="734"/>
      <c r="S366" s="734"/>
      <c r="T366" s="734"/>
      <c r="U366" s="734"/>
      <c r="V366" s="734"/>
      <c r="W366" s="734"/>
      <c r="X366" s="734"/>
      <c r="Y366" s="734"/>
      <c r="Z366" s="734"/>
      <c r="AA366" s="734"/>
      <c r="AB366" s="734"/>
      <c r="AC366" s="734"/>
    </row>
    <row r="367" spans="1:29" x14ac:dyDescent="0.2">
      <c r="A367" s="704">
        <v>2264</v>
      </c>
      <c r="B367" s="704">
        <v>2264</v>
      </c>
      <c r="C367" s="704" t="s">
        <v>578</v>
      </c>
      <c r="D367" s="704" t="s">
        <v>530</v>
      </c>
      <c r="E367" s="704">
        <v>0.99127600000000005</v>
      </c>
      <c r="F367" s="704">
        <v>99.127600000000001</v>
      </c>
      <c r="H367">
        <f t="shared" si="72"/>
        <v>2264</v>
      </c>
      <c r="I367" t="str">
        <f t="shared" si="73"/>
        <v>Rest of NSW</v>
      </c>
      <c r="P367" s="734"/>
      <c r="Q367" s="734"/>
      <c r="R367" s="734"/>
      <c r="S367" s="734"/>
      <c r="T367" s="734"/>
      <c r="U367" s="734"/>
      <c r="V367" s="734"/>
      <c r="W367" s="734"/>
      <c r="X367" s="734"/>
      <c r="Y367" s="734"/>
      <c r="Z367" s="734"/>
      <c r="AA367" s="734"/>
      <c r="AB367" s="734"/>
      <c r="AC367" s="734"/>
    </row>
    <row r="368" spans="1:29" x14ac:dyDescent="0.2">
      <c r="A368" s="704">
        <v>2265</v>
      </c>
      <c r="B368" s="704">
        <v>2265</v>
      </c>
      <c r="C368" s="704" t="s">
        <v>578</v>
      </c>
      <c r="D368" s="704" t="s">
        <v>530</v>
      </c>
      <c r="E368" s="704">
        <v>1</v>
      </c>
      <c r="F368" s="704">
        <v>100</v>
      </c>
      <c r="H368">
        <f t="shared" si="72"/>
        <v>2265</v>
      </c>
      <c r="I368" t="str">
        <f t="shared" si="73"/>
        <v>Rest of NSW</v>
      </c>
      <c r="P368" s="734"/>
      <c r="Q368" s="734"/>
      <c r="R368" s="734"/>
      <c r="S368" s="734"/>
      <c r="T368" s="734"/>
      <c r="U368" s="734"/>
      <c r="V368" s="734"/>
      <c r="W368" s="734"/>
      <c r="X368" s="734"/>
      <c r="Y368" s="734"/>
      <c r="Z368" s="734"/>
      <c r="AA368" s="734"/>
      <c r="AB368" s="734"/>
      <c r="AC368" s="734"/>
    </row>
    <row r="369" spans="1:29" x14ac:dyDescent="0.2">
      <c r="A369" s="704">
        <v>2267</v>
      </c>
      <c r="B369" s="704">
        <v>2267</v>
      </c>
      <c r="C369" s="704" t="s">
        <v>578</v>
      </c>
      <c r="D369" s="704" t="s">
        <v>530</v>
      </c>
      <c r="E369" s="704">
        <v>0.97713499999999998</v>
      </c>
      <c r="F369" s="704">
        <v>97.713499999999996</v>
      </c>
      <c r="H369">
        <f t="shared" si="72"/>
        <v>2267</v>
      </c>
      <c r="I369" t="str">
        <f t="shared" si="73"/>
        <v>Rest of NSW</v>
      </c>
      <c r="P369" s="734"/>
      <c r="Q369" s="734"/>
      <c r="R369" s="734"/>
      <c r="S369" s="734"/>
      <c r="T369" s="734"/>
      <c r="U369" s="734"/>
      <c r="V369" s="734"/>
      <c r="W369" s="734"/>
      <c r="X369" s="734"/>
      <c r="Y369" s="734"/>
      <c r="Z369" s="734"/>
      <c r="AA369" s="734"/>
      <c r="AB369" s="734"/>
      <c r="AC369" s="734"/>
    </row>
    <row r="370" spans="1:29" x14ac:dyDescent="0.2">
      <c r="A370" s="704">
        <v>2278</v>
      </c>
      <c r="B370" s="704">
        <v>2278</v>
      </c>
      <c r="C370" s="704" t="s">
        <v>578</v>
      </c>
      <c r="D370" s="704" t="s">
        <v>530</v>
      </c>
      <c r="E370" s="704">
        <v>1</v>
      </c>
      <c r="F370" s="704">
        <v>100</v>
      </c>
      <c r="H370">
        <f t="shared" si="72"/>
        <v>2278</v>
      </c>
      <c r="I370" t="str">
        <f t="shared" si="73"/>
        <v>Rest of NSW</v>
      </c>
      <c r="P370" s="734"/>
      <c r="Q370" s="734"/>
      <c r="R370" s="734"/>
      <c r="S370" s="734"/>
      <c r="T370" s="734"/>
      <c r="U370" s="734"/>
      <c r="V370" s="734"/>
      <c r="W370" s="734"/>
      <c r="X370" s="734"/>
      <c r="Y370" s="734"/>
      <c r="Z370" s="734"/>
      <c r="AA370" s="734"/>
      <c r="AB370" s="734"/>
      <c r="AC370" s="734"/>
    </row>
    <row r="371" spans="1:29" x14ac:dyDescent="0.2">
      <c r="A371" s="704">
        <v>2280</v>
      </c>
      <c r="B371" s="704">
        <v>2280</v>
      </c>
      <c r="C371" s="704" t="s">
        <v>578</v>
      </c>
      <c r="D371" s="704" t="s">
        <v>530</v>
      </c>
      <c r="E371" s="704">
        <v>0.99584499999999998</v>
      </c>
      <c r="F371" s="704">
        <v>99.584500000000006</v>
      </c>
      <c r="H371">
        <f t="shared" si="72"/>
        <v>2280</v>
      </c>
      <c r="I371" t="str">
        <f t="shared" si="73"/>
        <v>Rest of NSW</v>
      </c>
      <c r="P371" s="734"/>
      <c r="Q371" s="734"/>
      <c r="R371" s="734"/>
      <c r="S371" s="734"/>
      <c r="T371" s="734"/>
      <c r="U371" s="734"/>
      <c r="V371" s="734"/>
      <c r="W371" s="734"/>
      <c r="X371" s="734"/>
      <c r="Y371" s="734"/>
      <c r="Z371" s="734"/>
      <c r="AA371" s="734"/>
      <c r="AB371" s="734"/>
      <c r="AC371" s="734"/>
    </row>
    <row r="372" spans="1:29" x14ac:dyDescent="0.2">
      <c r="A372" s="704">
        <v>2281</v>
      </c>
      <c r="B372" s="704">
        <v>2281</v>
      </c>
      <c r="C372" s="704" t="s">
        <v>578</v>
      </c>
      <c r="D372" s="704" t="s">
        <v>530</v>
      </c>
      <c r="E372" s="704">
        <v>0.99934100000000003</v>
      </c>
      <c r="F372" s="704">
        <v>99.934100000000001</v>
      </c>
      <c r="H372">
        <f t="shared" si="72"/>
        <v>2281</v>
      </c>
      <c r="I372" t="str">
        <f t="shared" si="73"/>
        <v>Rest of NSW</v>
      </c>
      <c r="P372" s="734"/>
      <c r="Q372" s="734"/>
      <c r="R372" s="734"/>
      <c r="S372" s="734"/>
      <c r="T372" s="734"/>
      <c r="U372" s="734"/>
      <c r="V372" s="734"/>
      <c r="W372" s="734"/>
      <c r="X372" s="734"/>
      <c r="Y372" s="734"/>
      <c r="Z372" s="734"/>
      <c r="AA372" s="734"/>
      <c r="AB372" s="734"/>
      <c r="AC372" s="734"/>
    </row>
    <row r="373" spans="1:29" x14ac:dyDescent="0.2">
      <c r="A373" s="704">
        <v>2282</v>
      </c>
      <c r="B373" s="704">
        <v>2282</v>
      </c>
      <c r="C373" s="704" t="s">
        <v>578</v>
      </c>
      <c r="D373" s="704" t="s">
        <v>530</v>
      </c>
      <c r="E373" s="704">
        <v>0.99775499999999995</v>
      </c>
      <c r="F373" s="704">
        <v>99.775499999999994</v>
      </c>
      <c r="H373">
        <f t="shared" si="72"/>
        <v>2282</v>
      </c>
      <c r="I373" t="str">
        <f t="shared" si="73"/>
        <v>Rest of NSW</v>
      </c>
      <c r="P373" s="734"/>
      <c r="Q373" s="734"/>
      <c r="R373" s="734"/>
      <c r="S373" s="734"/>
      <c r="T373" s="734"/>
      <c r="U373" s="734"/>
      <c r="V373" s="734"/>
      <c r="W373" s="734"/>
      <c r="X373" s="734"/>
      <c r="Y373" s="734"/>
      <c r="Z373" s="734"/>
      <c r="AA373" s="734"/>
      <c r="AB373" s="734"/>
      <c r="AC373" s="734"/>
    </row>
    <row r="374" spans="1:29" x14ac:dyDescent="0.2">
      <c r="A374" s="704">
        <v>2283</v>
      </c>
      <c r="B374" s="704">
        <v>2283</v>
      </c>
      <c r="C374" s="704" t="s">
        <v>578</v>
      </c>
      <c r="D374" s="704" t="s">
        <v>530</v>
      </c>
      <c r="E374" s="704">
        <v>0.98863900000000005</v>
      </c>
      <c r="F374" s="704">
        <v>98.863900000000001</v>
      </c>
      <c r="H374">
        <f t="shared" si="72"/>
        <v>2283</v>
      </c>
      <c r="I374" t="str">
        <f t="shared" si="73"/>
        <v>Rest of NSW</v>
      </c>
      <c r="P374" s="734"/>
      <c r="Q374" s="734"/>
      <c r="R374" s="734"/>
      <c r="S374" s="734"/>
      <c r="T374" s="734"/>
      <c r="U374" s="734"/>
      <c r="V374" s="734"/>
      <c r="W374" s="734"/>
      <c r="X374" s="734"/>
      <c r="Y374" s="734"/>
      <c r="Z374" s="734"/>
      <c r="AA374" s="734"/>
      <c r="AB374" s="734"/>
      <c r="AC374" s="734"/>
    </row>
    <row r="375" spans="1:29" x14ac:dyDescent="0.2">
      <c r="A375" s="704">
        <v>2284</v>
      </c>
      <c r="B375" s="704">
        <v>2284</v>
      </c>
      <c r="C375" s="704" t="s">
        <v>578</v>
      </c>
      <c r="D375" s="704" t="s">
        <v>530</v>
      </c>
      <c r="E375" s="704">
        <v>0.99327100000000002</v>
      </c>
      <c r="F375" s="704">
        <v>99.327100000000002</v>
      </c>
      <c r="H375">
        <f t="shared" si="72"/>
        <v>2284</v>
      </c>
      <c r="I375" t="str">
        <f t="shared" si="73"/>
        <v>Rest of NSW</v>
      </c>
      <c r="P375" s="734"/>
      <c r="Q375" s="734"/>
      <c r="R375" s="734"/>
      <c r="S375" s="734"/>
      <c r="T375" s="734"/>
      <c r="U375" s="734"/>
      <c r="V375" s="734"/>
      <c r="W375" s="734"/>
      <c r="X375" s="734"/>
      <c r="Y375" s="734"/>
      <c r="Z375" s="734"/>
      <c r="AA375" s="734"/>
      <c r="AB375" s="734"/>
      <c r="AC375" s="734"/>
    </row>
    <row r="376" spans="1:29" x14ac:dyDescent="0.2">
      <c r="A376" s="704">
        <v>2285</v>
      </c>
      <c r="B376" s="704">
        <v>2285</v>
      </c>
      <c r="C376" s="704" t="s">
        <v>578</v>
      </c>
      <c r="D376" s="704" t="s">
        <v>530</v>
      </c>
      <c r="E376" s="704">
        <v>1</v>
      </c>
      <c r="F376" s="704">
        <v>100</v>
      </c>
      <c r="H376">
        <f t="shared" si="72"/>
        <v>2285</v>
      </c>
      <c r="I376" t="str">
        <f t="shared" si="73"/>
        <v>Rest of NSW</v>
      </c>
      <c r="P376" s="734"/>
      <c r="Q376" s="734"/>
      <c r="R376" s="734"/>
      <c r="S376" s="734"/>
      <c r="T376" s="734"/>
      <c r="U376" s="734"/>
      <c r="V376" s="734"/>
      <c r="W376" s="734"/>
      <c r="X376" s="734"/>
      <c r="Y376" s="734"/>
      <c r="Z376" s="734"/>
      <c r="AA376" s="734"/>
      <c r="AB376" s="734"/>
      <c r="AC376" s="734"/>
    </row>
    <row r="377" spans="1:29" x14ac:dyDescent="0.2">
      <c r="A377" s="704">
        <v>2286</v>
      </c>
      <c r="B377" s="704">
        <v>2286</v>
      </c>
      <c r="C377" s="704" t="s">
        <v>578</v>
      </c>
      <c r="D377" s="704" t="s">
        <v>530</v>
      </c>
      <c r="E377" s="704">
        <v>1</v>
      </c>
      <c r="F377" s="704">
        <v>100</v>
      </c>
      <c r="H377">
        <f t="shared" ref="H377:H440" si="74">A377*1</f>
        <v>2286</v>
      </c>
      <c r="I377" t="str">
        <f t="shared" ref="I377:I440" si="75">D377</f>
        <v>Rest of NSW</v>
      </c>
      <c r="P377" s="734"/>
      <c r="Q377" s="734"/>
      <c r="R377" s="734"/>
      <c r="S377" s="734"/>
      <c r="T377" s="734"/>
      <c r="U377" s="734"/>
      <c r="V377" s="734"/>
      <c r="W377" s="734"/>
      <c r="X377" s="734"/>
      <c r="Y377" s="734"/>
      <c r="Z377" s="734"/>
      <c r="AA377" s="734"/>
      <c r="AB377" s="734"/>
      <c r="AC377" s="734"/>
    </row>
    <row r="378" spans="1:29" x14ac:dyDescent="0.2">
      <c r="A378" s="704">
        <v>2287</v>
      </c>
      <c r="B378" s="704">
        <v>2287</v>
      </c>
      <c r="C378" s="704" t="s">
        <v>578</v>
      </c>
      <c r="D378" s="704" t="s">
        <v>530</v>
      </c>
      <c r="E378" s="704">
        <v>1</v>
      </c>
      <c r="F378" s="704">
        <v>100</v>
      </c>
      <c r="H378">
        <f t="shared" si="74"/>
        <v>2287</v>
      </c>
      <c r="I378" t="str">
        <f t="shared" si="75"/>
        <v>Rest of NSW</v>
      </c>
      <c r="P378" s="734"/>
      <c r="Q378" s="734"/>
      <c r="R378" s="734"/>
      <c r="S378" s="734"/>
      <c r="T378" s="734"/>
      <c r="U378" s="734"/>
      <c r="V378" s="734"/>
      <c r="W378" s="734"/>
      <c r="X378" s="734"/>
      <c r="Y378" s="734"/>
      <c r="Z378" s="734"/>
      <c r="AA378" s="734"/>
      <c r="AB378" s="734"/>
      <c r="AC378" s="734"/>
    </row>
    <row r="379" spans="1:29" x14ac:dyDescent="0.2">
      <c r="A379" s="704">
        <v>2289</v>
      </c>
      <c r="B379" s="704">
        <v>2289</v>
      </c>
      <c r="C379" s="704" t="s">
        <v>578</v>
      </c>
      <c r="D379" s="704" t="s">
        <v>530</v>
      </c>
      <c r="E379" s="704">
        <v>1</v>
      </c>
      <c r="F379" s="704">
        <v>100</v>
      </c>
      <c r="H379">
        <f t="shared" si="74"/>
        <v>2289</v>
      </c>
      <c r="I379" t="str">
        <f t="shared" si="75"/>
        <v>Rest of NSW</v>
      </c>
      <c r="P379" s="734"/>
      <c r="Q379" s="734"/>
      <c r="R379" s="734"/>
      <c r="S379" s="734"/>
      <c r="T379" s="734"/>
      <c r="U379" s="734"/>
      <c r="V379" s="734"/>
      <c r="W379" s="734"/>
      <c r="X379" s="734"/>
      <c r="Y379" s="734"/>
      <c r="Z379" s="734"/>
      <c r="AA379" s="734"/>
      <c r="AB379" s="734"/>
      <c r="AC379" s="734"/>
    </row>
    <row r="380" spans="1:29" x14ac:dyDescent="0.2">
      <c r="A380" s="704">
        <v>2290</v>
      </c>
      <c r="B380" s="704">
        <v>2290</v>
      </c>
      <c r="C380" s="704" t="s">
        <v>578</v>
      </c>
      <c r="D380" s="704" t="s">
        <v>530</v>
      </c>
      <c r="E380" s="704">
        <v>1</v>
      </c>
      <c r="F380" s="704">
        <v>100</v>
      </c>
      <c r="H380">
        <f t="shared" si="74"/>
        <v>2290</v>
      </c>
      <c r="I380" t="str">
        <f t="shared" si="75"/>
        <v>Rest of NSW</v>
      </c>
      <c r="P380" s="734"/>
      <c r="Q380" s="734"/>
      <c r="R380" s="734"/>
      <c r="S380" s="734"/>
      <c r="T380" s="734"/>
      <c r="U380" s="734"/>
      <c r="V380" s="734"/>
      <c r="W380" s="734"/>
      <c r="X380" s="734"/>
      <c r="Y380" s="734"/>
      <c r="Z380" s="734"/>
      <c r="AA380" s="734"/>
      <c r="AB380" s="734"/>
      <c r="AC380" s="734"/>
    </row>
    <row r="381" spans="1:29" x14ac:dyDescent="0.2">
      <c r="A381" s="704">
        <v>2291</v>
      </c>
      <c r="B381" s="704">
        <v>2291</v>
      </c>
      <c r="C381" s="704" t="s">
        <v>578</v>
      </c>
      <c r="D381" s="704" t="s">
        <v>530</v>
      </c>
      <c r="E381" s="704">
        <v>1</v>
      </c>
      <c r="F381" s="704">
        <v>100</v>
      </c>
      <c r="H381">
        <f t="shared" si="74"/>
        <v>2291</v>
      </c>
      <c r="I381" t="str">
        <f t="shared" si="75"/>
        <v>Rest of NSW</v>
      </c>
      <c r="P381" s="734"/>
      <c r="Q381" s="734"/>
      <c r="R381" s="734"/>
      <c r="S381" s="734"/>
      <c r="T381" s="734"/>
      <c r="U381" s="734"/>
      <c r="V381" s="734"/>
      <c r="W381" s="734"/>
      <c r="X381" s="734"/>
      <c r="Y381" s="734"/>
      <c r="Z381" s="734"/>
      <c r="AA381" s="734"/>
      <c r="AB381" s="734"/>
      <c r="AC381" s="734"/>
    </row>
    <row r="382" spans="1:29" x14ac:dyDescent="0.2">
      <c r="A382" s="704">
        <v>2292</v>
      </c>
      <c r="B382" s="704">
        <v>2292</v>
      </c>
      <c r="C382" s="704" t="s">
        <v>578</v>
      </c>
      <c r="D382" s="704" t="s">
        <v>530</v>
      </c>
      <c r="E382" s="704">
        <v>1</v>
      </c>
      <c r="F382" s="704">
        <v>100</v>
      </c>
      <c r="H382">
        <f t="shared" si="74"/>
        <v>2292</v>
      </c>
      <c r="I382" t="str">
        <f t="shared" si="75"/>
        <v>Rest of NSW</v>
      </c>
      <c r="P382" s="734"/>
      <c r="Q382" s="734"/>
      <c r="R382" s="734"/>
      <c r="S382" s="734"/>
      <c r="T382" s="734"/>
      <c r="U382" s="734"/>
      <c r="V382" s="734"/>
      <c r="W382" s="734"/>
      <c r="X382" s="734"/>
      <c r="Y382" s="734"/>
      <c r="Z382" s="734"/>
      <c r="AA382" s="734"/>
      <c r="AB382" s="734"/>
      <c r="AC382" s="734"/>
    </row>
    <row r="383" spans="1:29" x14ac:dyDescent="0.2">
      <c r="A383" s="704">
        <v>2293</v>
      </c>
      <c r="B383" s="704">
        <v>2293</v>
      </c>
      <c r="C383" s="704" t="s">
        <v>578</v>
      </c>
      <c r="D383" s="704" t="s">
        <v>530</v>
      </c>
      <c r="E383" s="704">
        <v>1</v>
      </c>
      <c r="F383" s="704">
        <v>100</v>
      </c>
      <c r="H383">
        <f t="shared" si="74"/>
        <v>2293</v>
      </c>
      <c r="I383" t="str">
        <f t="shared" si="75"/>
        <v>Rest of NSW</v>
      </c>
      <c r="P383" s="734"/>
      <c r="Q383" s="734"/>
      <c r="R383" s="734"/>
      <c r="S383" s="734"/>
      <c r="T383" s="734"/>
      <c r="U383" s="734"/>
      <c r="V383" s="734"/>
      <c r="W383" s="734"/>
      <c r="X383" s="734"/>
      <c r="Y383" s="734"/>
      <c r="Z383" s="734"/>
      <c r="AA383" s="734"/>
      <c r="AB383" s="734"/>
      <c r="AC383" s="734"/>
    </row>
    <row r="384" spans="1:29" x14ac:dyDescent="0.2">
      <c r="A384" s="704">
        <v>2294</v>
      </c>
      <c r="B384" s="704">
        <v>2294</v>
      </c>
      <c r="C384" s="704" t="s">
        <v>578</v>
      </c>
      <c r="D384" s="704" t="s">
        <v>530</v>
      </c>
      <c r="E384" s="704">
        <v>0.99363800000000002</v>
      </c>
      <c r="F384" s="704">
        <v>99.363799999999998</v>
      </c>
      <c r="H384">
        <f t="shared" si="74"/>
        <v>2294</v>
      </c>
      <c r="I384" t="str">
        <f t="shared" si="75"/>
        <v>Rest of NSW</v>
      </c>
      <c r="P384" s="734"/>
      <c r="Q384" s="734"/>
      <c r="R384" s="734"/>
      <c r="S384" s="734"/>
      <c r="T384" s="734"/>
      <c r="U384" s="734"/>
      <c r="V384" s="734"/>
      <c r="W384" s="734"/>
      <c r="X384" s="734"/>
      <c r="Y384" s="734"/>
      <c r="Z384" s="734"/>
      <c r="AA384" s="734"/>
      <c r="AB384" s="734"/>
      <c r="AC384" s="734"/>
    </row>
    <row r="385" spans="1:29" x14ac:dyDescent="0.2">
      <c r="A385" s="704">
        <v>2295</v>
      </c>
      <c r="B385" s="704">
        <v>2295</v>
      </c>
      <c r="C385" s="704" t="s">
        <v>578</v>
      </c>
      <c r="D385" s="704" t="s">
        <v>530</v>
      </c>
      <c r="E385" s="704">
        <v>0.99769200000000002</v>
      </c>
      <c r="F385" s="704">
        <v>99.769300000000001</v>
      </c>
      <c r="H385">
        <f t="shared" si="74"/>
        <v>2295</v>
      </c>
      <c r="I385" t="str">
        <f t="shared" si="75"/>
        <v>Rest of NSW</v>
      </c>
      <c r="P385" s="734"/>
      <c r="Q385" s="734"/>
      <c r="R385" s="734"/>
      <c r="S385" s="734"/>
      <c r="T385" s="734"/>
      <c r="U385" s="734"/>
      <c r="V385" s="734"/>
      <c r="W385" s="734"/>
      <c r="X385" s="734"/>
      <c r="Y385" s="734"/>
      <c r="Z385" s="734"/>
      <c r="AA385" s="734"/>
      <c r="AB385" s="734"/>
      <c r="AC385" s="734"/>
    </row>
    <row r="386" spans="1:29" x14ac:dyDescent="0.2">
      <c r="A386" s="704">
        <v>2296</v>
      </c>
      <c r="B386" s="704">
        <v>2296</v>
      </c>
      <c r="C386" s="704" t="s">
        <v>578</v>
      </c>
      <c r="D386" s="704" t="s">
        <v>530</v>
      </c>
      <c r="E386" s="704">
        <v>1</v>
      </c>
      <c r="F386" s="704">
        <v>100</v>
      </c>
      <c r="H386">
        <f t="shared" si="74"/>
        <v>2296</v>
      </c>
      <c r="I386" t="str">
        <f t="shared" si="75"/>
        <v>Rest of NSW</v>
      </c>
      <c r="P386" s="734"/>
      <c r="Q386" s="734"/>
      <c r="R386" s="734"/>
      <c r="S386" s="734"/>
      <c r="T386" s="734"/>
      <c r="U386" s="734"/>
      <c r="V386" s="734"/>
      <c r="W386" s="734"/>
      <c r="X386" s="734"/>
      <c r="Y386" s="734"/>
      <c r="Z386" s="734"/>
      <c r="AA386" s="734"/>
      <c r="AB386" s="734"/>
      <c r="AC386" s="734"/>
    </row>
    <row r="387" spans="1:29" x14ac:dyDescent="0.2">
      <c r="A387" s="704">
        <v>2297</v>
      </c>
      <c r="B387" s="704">
        <v>2297</v>
      </c>
      <c r="C387" s="704" t="s">
        <v>578</v>
      </c>
      <c r="D387" s="704" t="s">
        <v>530</v>
      </c>
      <c r="E387" s="704">
        <v>1</v>
      </c>
      <c r="F387" s="704">
        <v>100</v>
      </c>
      <c r="H387">
        <f t="shared" si="74"/>
        <v>2297</v>
      </c>
      <c r="I387" t="str">
        <f t="shared" si="75"/>
        <v>Rest of NSW</v>
      </c>
      <c r="P387" s="734"/>
      <c r="Q387" s="734"/>
      <c r="R387" s="734"/>
      <c r="S387" s="734"/>
      <c r="T387" s="734"/>
      <c r="U387" s="734"/>
      <c r="V387" s="734"/>
      <c r="W387" s="734"/>
      <c r="X387" s="734"/>
      <c r="Y387" s="734"/>
      <c r="Z387" s="734"/>
      <c r="AA387" s="734"/>
      <c r="AB387" s="734"/>
      <c r="AC387" s="734"/>
    </row>
    <row r="388" spans="1:29" x14ac:dyDescent="0.2">
      <c r="A388" s="704">
        <v>2298</v>
      </c>
      <c r="B388" s="704">
        <v>2298</v>
      </c>
      <c r="C388" s="704" t="s">
        <v>578</v>
      </c>
      <c r="D388" s="704" t="s">
        <v>530</v>
      </c>
      <c r="E388" s="704">
        <v>1</v>
      </c>
      <c r="F388" s="704">
        <v>100</v>
      </c>
      <c r="H388">
        <f t="shared" si="74"/>
        <v>2298</v>
      </c>
      <c r="I388" t="str">
        <f t="shared" si="75"/>
        <v>Rest of NSW</v>
      </c>
      <c r="P388" s="734"/>
      <c r="Q388" s="734"/>
      <c r="R388" s="734"/>
      <c r="S388" s="734"/>
      <c r="T388" s="734"/>
      <c r="U388" s="734"/>
      <c r="V388" s="734"/>
      <c r="W388" s="734"/>
      <c r="X388" s="734"/>
      <c r="Y388" s="734"/>
      <c r="Z388" s="734"/>
      <c r="AA388" s="734"/>
      <c r="AB388" s="734"/>
      <c r="AC388" s="734"/>
    </row>
    <row r="389" spans="1:29" x14ac:dyDescent="0.2">
      <c r="A389" s="704">
        <v>2299</v>
      </c>
      <c r="B389" s="704">
        <v>2299</v>
      </c>
      <c r="C389" s="704" t="s">
        <v>578</v>
      </c>
      <c r="D389" s="704" t="s">
        <v>530</v>
      </c>
      <c r="E389" s="704">
        <v>1</v>
      </c>
      <c r="F389" s="704">
        <v>100</v>
      </c>
      <c r="H389">
        <f t="shared" si="74"/>
        <v>2299</v>
      </c>
      <c r="I389" t="str">
        <f t="shared" si="75"/>
        <v>Rest of NSW</v>
      </c>
      <c r="P389" s="734"/>
      <c r="Q389" s="734"/>
      <c r="R389" s="734"/>
      <c r="S389" s="734"/>
      <c r="T389" s="734"/>
      <c r="U389" s="734"/>
      <c r="V389" s="734"/>
      <c r="W389" s="734"/>
      <c r="X389" s="734"/>
      <c r="Y389" s="734"/>
      <c r="Z389" s="734"/>
      <c r="AA389" s="734"/>
      <c r="AB389" s="734"/>
      <c r="AC389" s="734"/>
    </row>
    <row r="390" spans="1:29" x14ac:dyDescent="0.2">
      <c r="A390" s="704">
        <v>2300</v>
      </c>
      <c r="B390" s="704">
        <v>2300</v>
      </c>
      <c r="C390" s="704" t="s">
        <v>578</v>
      </c>
      <c r="D390" s="704" t="s">
        <v>530</v>
      </c>
      <c r="E390" s="704">
        <v>0.99931300000000001</v>
      </c>
      <c r="F390" s="704">
        <v>99.931299999999993</v>
      </c>
      <c r="H390">
        <f t="shared" si="74"/>
        <v>2300</v>
      </c>
      <c r="I390" t="str">
        <f t="shared" si="75"/>
        <v>Rest of NSW</v>
      </c>
      <c r="P390" s="734"/>
      <c r="Q390" s="734"/>
      <c r="R390" s="734"/>
      <c r="S390" s="734"/>
      <c r="T390" s="734"/>
      <c r="U390" s="734"/>
      <c r="V390" s="734"/>
      <c r="W390" s="734"/>
      <c r="X390" s="734"/>
      <c r="Y390" s="734"/>
      <c r="Z390" s="734"/>
      <c r="AA390" s="734"/>
      <c r="AB390" s="734"/>
      <c r="AC390" s="734"/>
    </row>
    <row r="391" spans="1:29" x14ac:dyDescent="0.2">
      <c r="A391" s="704">
        <v>2302</v>
      </c>
      <c r="B391" s="704">
        <v>2302</v>
      </c>
      <c r="C391" s="704" t="s">
        <v>578</v>
      </c>
      <c r="D391" s="704" t="s">
        <v>530</v>
      </c>
      <c r="E391" s="704">
        <v>1</v>
      </c>
      <c r="F391" s="704">
        <v>100</v>
      </c>
      <c r="H391">
        <f t="shared" si="74"/>
        <v>2302</v>
      </c>
      <c r="I391" t="str">
        <f t="shared" si="75"/>
        <v>Rest of NSW</v>
      </c>
      <c r="P391" s="734"/>
      <c r="Q391" s="734"/>
      <c r="R391" s="734"/>
      <c r="S391" s="734"/>
      <c r="T391" s="734"/>
      <c r="U391" s="734"/>
      <c r="V391" s="734"/>
      <c r="W391" s="734"/>
      <c r="X391" s="734"/>
      <c r="Y391" s="734"/>
      <c r="Z391" s="734"/>
      <c r="AA391" s="734"/>
      <c r="AB391" s="734"/>
      <c r="AC391" s="734"/>
    </row>
    <row r="392" spans="1:29" x14ac:dyDescent="0.2">
      <c r="A392" s="704">
        <v>2303</v>
      </c>
      <c r="B392" s="704">
        <v>2303</v>
      </c>
      <c r="C392" s="704" t="s">
        <v>578</v>
      </c>
      <c r="D392" s="704" t="s">
        <v>530</v>
      </c>
      <c r="E392" s="704">
        <v>1</v>
      </c>
      <c r="F392" s="704">
        <v>100</v>
      </c>
      <c r="H392">
        <f t="shared" si="74"/>
        <v>2303</v>
      </c>
      <c r="I392" t="str">
        <f t="shared" si="75"/>
        <v>Rest of NSW</v>
      </c>
      <c r="P392" s="734"/>
      <c r="Q392" s="734"/>
      <c r="R392" s="734"/>
      <c r="S392" s="734"/>
      <c r="T392" s="734"/>
      <c r="U392" s="734"/>
      <c r="V392" s="734"/>
      <c r="W392" s="734"/>
      <c r="X392" s="734"/>
      <c r="Y392" s="734"/>
      <c r="Z392" s="734"/>
      <c r="AA392" s="734"/>
      <c r="AB392" s="734"/>
      <c r="AC392" s="734"/>
    </row>
    <row r="393" spans="1:29" x14ac:dyDescent="0.2">
      <c r="A393" s="704">
        <v>2304</v>
      </c>
      <c r="B393" s="704">
        <v>2304</v>
      </c>
      <c r="C393" s="704" t="s">
        <v>578</v>
      </c>
      <c r="D393" s="704" t="s">
        <v>530</v>
      </c>
      <c r="E393" s="704">
        <v>0.99996300000000005</v>
      </c>
      <c r="F393" s="704">
        <v>99.996300000000005</v>
      </c>
      <c r="H393">
        <f t="shared" si="74"/>
        <v>2304</v>
      </c>
      <c r="I393" t="str">
        <f t="shared" si="75"/>
        <v>Rest of NSW</v>
      </c>
      <c r="P393" s="734"/>
      <c r="Q393" s="734"/>
      <c r="R393" s="734"/>
      <c r="S393" s="734"/>
      <c r="T393" s="734"/>
      <c r="U393" s="734"/>
      <c r="V393" s="734"/>
      <c r="W393" s="734"/>
      <c r="X393" s="734"/>
      <c r="Y393" s="734"/>
      <c r="Z393" s="734"/>
      <c r="AA393" s="734"/>
      <c r="AB393" s="734"/>
      <c r="AC393" s="734"/>
    </row>
    <row r="394" spans="1:29" x14ac:dyDescent="0.2">
      <c r="A394" s="704">
        <v>2305</v>
      </c>
      <c r="B394" s="704">
        <v>2305</v>
      </c>
      <c r="C394" s="704" t="s">
        <v>578</v>
      </c>
      <c r="D394" s="704" t="s">
        <v>530</v>
      </c>
      <c r="E394" s="704">
        <v>1</v>
      </c>
      <c r="F394" s="704">
        <v>100</v>
      </c>
      <c r="H394">
        <f t="shared" si="74"/>
        <v>2305</v>
      </c>
      <c r="I394" t="str">
        <f t="shared" si="75"/>
        <v>Rest of NSW</v>
      </c>
      <c r="P394" s="734"/>
      <c r="Q394" s="734"/>
      <c r="R394" s="734"/>
      <c r="S394" s="734"/>
      <c r="T394" s="734"/>
      <c r="U394" s="734"/>
      <c r="V394" s="734"/>
      <c r="W394" s="734"/>
      <c r="X394" s="734"/>
      <c r="Y394" s="734"/>
      <c r="Z394" s="734"/>
      <c r="AA394" s="734"/>
      <c r="AB394" s="734"/>
      <c r="AC394" s="734"/>
    </row>
    <row r="395" spans="1:29" x14ac:dyDescent="0.2">
      <c r="A395" s="704">
        <v>2306</v>
      </c>
      <c r="B395" s="704">
        <v>2306</v>
      </c>
      <c r="C395" s="704" t="s">
        <v>578</v>
      </c>
      <c r="D395" s="704" t="s">
        <v>530</v>
      </c>
      <c r="E395" s="704">
        <v>1</v>
      </c>
      <c r="F395" s="704">
        <v>100</v>
      </c>
      <c r="H395">
        <f t="shared" si="74"/>
        <v>2306</v>
      </c>
      <c r="I395" t="str">
        <f t="shared" si="75"/>
        <v>Rest of NSW</v>
      </c>
      <c r="P395" s="734"/>
      <c r="Q395" s="734"/>
      <c r="R395" s="734"/>
      <c r="S395" s="734"/>
      <c r="T395" s="734"/>
      <c r="U395" s="734"/>
      <c r="V395" s="734"/>
      <c r="W395" s="734"/>
      <c r="X395" s="734"/>
      <c r="Y395" s="734"/>
      <c r="Z395" s="734"/>
      <c r="AA395" s="734"/>
      <c r="AB395" s="734"/>
      <c r="AC395" s="734"/>
    </row>
    <row r="396" spans="1:29" x14ac:dyDescent="0.2">
      <c r="A396" s="704">
        <v>2307</v>
      </c>
      <c r="B396" s="704">
        <v>2307</v>
      </c>
      <c r="C396" s="704" t="s">
        <v>578</v>
      </c>
      <c r="D396" s="704" t="s">
        <v>530</v>
      </c>
      <c r="E396" s="704">
        <v>1</v>
      </c>
      <c r="F396" s="704">
        <v>100</v>
      </c>
      <c r="H396">
        <f t="shared" si="74"/>
        <v>2307</v>
      </c>
      <c r="I396" t="str">
        <f t="shared" si="75"/>
        <v>Rest of NSW</v>
      </c>
      <c r="P396" s="734"/>
      <c r="Q396" s="734"/>
      <c r="R396" s="734"/>
      <c r="S396" s="734"/>
      <c r="T396" s="734"/>
      <c r="U396" s="734"/>
      <c r="V396" s="734"/>
      <c r="W396" s="734"/>
      <c r="X396" s="734"/>
      <c r="Y396" s="734"/>
      <c r="Z396" s="734"/>
      <c r="AA396" s="734"/>
      <c r="AB396" s="734"/>
      <c r="AC396" s="734"/>
    </row>
    <row r="397" spans="1:29" x14ac:dyDescent="0.2">
      <c r="A397" s="704">
        <v>2308</v>
      </c>
      <c r="B397" s="704">
        <v>2308</v>
      </c>
      <c r="C397" s="704" t="s">
        <v>578</v>
      </c>
      <c r="D397" s="704" t="s">
        <v>530</v>
      </c>
      <c r="E397" s="704">
        <v>1</v>
      </c>
      <c r="F397" s="704">
        <v>100</v>
      </c>
      <c r="H397">
        <f t="shared" si="74"/>
        <v>2308</v>
      </c>
      <c r="I397" t="str">
        <f t="shared" si="75"/>
        <v>Rest of NSW</v>
      </c>
      <c r="P397" s="734"/>
      <c r="Q397" s="734"/>
      <c r="R397" s="734"/>
      <c r="S397" s="734"/>
      <c r="T397" s="734"/>
      <c r="U397" s="734"/>
      <c r="V397" s="734"/>
      <c r="W397" s="734"/>
      <c r="X397" s="734"/>
      <c r="Y397" s="734"/>
      <c r="Z397" s="734"/>
      <c r="AA397" s="734"/>
      <c r="AB397" s="734"/>
      <c r="AC397" s="734"/>
    </row>
    <row r="398" spans="1:29" x14ac:dyDescent="0.2">
      <c r="A398" s="704">
        <v>2311</v>
      </c>
      <c r="B398" s="704">
        <v>2311</v>
      </c>
      <c r="C398" s="704" t="s">
        <v>578</v>
      </c>
      <c r="D398" s="704" t="s">
        <v>530</v>
      </c>
      <c r="E398" s="704">
        <v>1</v>
      </c>
      <c r="F398" s="704">
        <v>100</v>
      </c>
      <c r="H398">
        <f t="shared" si="74"/>
        <v>2311</v>
      </c>
      <c r="I398" t="str">
        <f t="shared" si="75"/>
        <v>Rest of NSW</v>
      </c>
      <c r="P398" s="734"/>
      <c r="Q398" s="734"/>
      <c r="R398" s="734"/>
      <c r="S398" s="734"/>
      <c r="T398" s="734"/>
      <c r="U398" s="734"/>
      <c r="V398" s="734"/>
      <c r="W398" s="734"/>
      <c r="X398" s="734"/>
      <c r="Y398" s="734"/>
      <c r="Z398" s="734"/>
      <c r="AA398" s="734"/>
      <c r="AB398" s="734"/>
      <c r="AC398" s="734"/>
    </row>
    <row r="399" spans="1:29" x14ac:dyDescent="0.2">
      <c r="A399" s="704">
        <v>2312</v>
      </c>
      <c r="B399" s="704">
        <v>2312</v>
      </c>
      <c r="C399" s="704" t="s">
        <v>578</v>
      </c>
      <c r="D399" s="704" t="s">
        <v>530</v>
      </c>
      <c r="E399" s="704">
        <v>1</v>
      </c>
      <c r="F399" s="704">
        <v>100</v>
      </c>
      <c r="H399">
        <f t="shared" si="74"/>
        <v>2312</v>
      </c>
      <c r="I399" t="str">
        <f t="shared" si="75"/>
        <v>Rest of NSW</v>
      </c>
      <c r="P399" s="734"/>
      <c r="Q399" s="734"/>
      <c r="R399" s="734"/>
      <c r="S399" s="734"/>
      <c r="T399" s="734"/>
      <c r="U399" s="734"/>
      <c r="V399" s="734"/>
      <c r="W399" s="734"/>
      <c r="X399" s="734"/>
      <c r="Y399" s="734"/>
      <c r="Z399" s="734"/>
      <c r="AA399" s="734"/>
      <c r="AB399" s="734"/>
      <c r="AC399" s="734"/>
    </row>
    <row r="400" spans="1:29" x14ac:dyDescent="0.2">
      <c r="A400" s="704">
        <v>2314</v>
      </c>
      <c r="B400" s="704">
        <v>2314</v>
      </c>
      <c r="C400" s="704" t="s">
        <v>578</v>
      </c>
      <c r="D400" s="704" t="s">
        <v>530</v>
      </c>
      <c r="E400" s="704">
        <v>1</v>
      </c>
      <c r="F400" s="704">
        <v>100</v>
      </c>
      <c r="H400">
        <f t="shared" si="74"/>
        <v>2314</v>
      </c>
      <c r="I400" t="str">
        <f t="shared" si="75"/>
        <v>Rest of NSW</v>
      </c>
      <c r="P400" s="734"/>
      <c r="Q400" s="734"/>
      <c r="R400" s="734"/>
      <c r="S400" s="734"/>
      <c r="T400" s="734"/>
      <c r="U400" s="734"/>
      <c r="V400" s="734"/>
      <c r="W400" s="734"/>
      <c r="X400" s="734"/>
      <c r="Y400" s="734"/>
      <c r="Z400" s="734"/>
      <c r="AA400" s="734"/>
      <c r="AB400" s="734"/>
      <c r="AC400" s="734"/>
    </row>
    <row r="401" spans="1:29" x14ac:dyDescent="0.2">
      <c r="A401" s="704">
        <v>2315</v>
      </c>
      <c r="B401" s="704">
        <v>2315</v>
      </c>
      <c r="C401" s="704" t="s">
        <v>578</v>
      </c>
      <c r="D401" s="704" t="s">
        <v>530</v>
      </c>
      <c r="E401" s="704">
        <v>0.99932100000000001</v>
      </c>
      <c r="F401" s="704">
        <v>99.932100000000005</v>
      </c>
      <c r="H401">
        <f t="shared" si="74"/>
        <v>2315</v>
      </c>
      <c r="I401" t="str">
        <f t="shared" si="75"/>
        <v>Rest of NSW</v>
      </c>
      <c r="P401" s="734"/>
      <c r="Q401" s="734"/>
      <c r="R401" s="734"/>
      <c r="S401" s="734"/>
      <c r="T401" s="734"/>
      <c r="U401" s="734"/>
      <c r="V401" s="734"/>
      <c r="W401" s="734"/>
      <c r="X401" s="734"/>
      <c r="Y401" s="734"/>
      <c r="Z401" s="734"/>
      <c r="AA401" s="734"/>
      <c r="AB401" s="734"/>
      <c r="AC401" s="734"/>
    </row>
    <row r="402" spans="1:29" x14ac:dyDescent="0.2">
      <c r="A402" s="704">
        <v>2316</v>
      </c>
      <c r="B402" s="704">
        <v>2316</v>
      </c>
      <c r="C402" s="704" t="s">
        <v>578</v>
      </c>
      <c r="D402" s="704" t="s">
        <v>530</v>
      </c>
      <c r="E402" s="704">
        <v>1</v>
      </c>
      <c r="F402" s="704">
        <v>100</v>
      </c>
      <c r="H402">
        <f t="shared" si="74"/>
        <v>2316</v>
      </c>
      <c r="I402" t="str">
        <f t="shared" si="75"/>
        <v>Rest of NSW</v>
      </c>
      <c r="P402" s="734"/>
      <c r="Q402" s="734"/>
      <c r="R402" s="734"/>
      <c r="S402" s="734"/>
      <c r="T402" s="734"/>
      <c r="U402" s="734"/>
      <c r="V402" s="734"/>
      <c r="W402" s="734"/>
      <c r="X402" s="734"/>
      <c r="Y402" s="734"/>
      <c r="Z402" s="734"/>
      <c r="AA402" s="734"/>
      <c r="AB402" s="734"/>
      <c r="AC402" s="734"/>
    </row>
    <row r="403" spans="1:29" x14ac:dyDescent="0.2">
      <c r="A403" s="704">
        <v>2317</v>
      </c>
      <c r="B403" s="704">
        <v>2317</v>
      </c>
      <c r="C403" s="704" t="s">
        <v>578</v>
      </c>
      <c r="D403" s="704" t="s">
        <v>530</v>
      </c>
      <c r="E403" s="704">
        <v>1</v>
      </c>
      <c r="F403" s="704">
        <v>100</v>
      </c>
      <c r="H403">
        <f t="shared" si="74"/>
        <v>2317</v>
      </c>
      <c r="I403" t="str">
        <f t="shared" si="75"/>
        <v>Rest of NSW</v>
      </c>
      <c r="P403" s="734"/>
      <c r="Q403" s="734"/>
      <c r="R403" s="734"/>
      <c r="S403" s="734"/>
      <c r="T403" s="734"/>
      <c r="U403" s="734"/>
      <c r="V403" s="734"/>
      <c r="W403" s="734"/>
      <c r="X403" s="734"/>
      <c r="Y403" s="734"/>
      <c r="Z403" s="734"/>
      <c r="AA403" s="734"/>
      <c r="AB403" s="734"/>
      <c r="AC403" s="734"/>
    </row>
    <row r="404" spans="1:29" x14ac:dyDescent="0.2">
      <c r="A404" s="704">
        <v>2318</v>
      </c>
      <c r="B404" s="704">
        <v>2318</v>
      </c>
      <c r="C404" s="704" t="s">
        <v>578</v>
      </c>
      <c r="D404" s="704" t="s">
        <v>530</v>
      </c>
      <c r="E404" s="704">
        <v>1</v>
      </c>
      <c r="F404" s="704">
        <v>100</v>
      </c>
      <c r="H404">
        <f t="shared" si="74"/>
        <v>2318</v>
      </c>
      <c r="I404" t="str">
        <f t="shared" si="75"/>
        <v>Rest of NSW</v>
      </c>
      <c r="P404" s="734"/>
      <c r="Q404" s="734"/>
      <c r="R404" s="734"/>
      <c r="S404" s="734"/>
      <c r="T404" s="734"/>
      <c r="U404" s="734"/>
      <c r="V404" s="734"/>
      <c r="W404" s="734"/>
      <c r="X404" s="734"/>
      <c r="Y404" s="734"/>
      <c r="Z404" s="734"/>
      <c r="AA404" s="734"/>
      <c r="AB404" s="734"/>
      <c r="AC404" s="734"/>
    </row>
    <row r="405" spans="1:29" x14ac:dyDescent="0.2">
      <c r="A405" s="704">
        <v>2319</v>
      </c>
      <c r="B405" s="704">
        <v>2319</v>
      </c>
      <c r="C405" s="704" t="s">
        <v>578</v>
      </c>
      <c r="D405" s="704" t="s">
        <v>530</v>
      </c>
      <c r="E405" s="704">
        <v>1</v>
      </c>
      <c r="F405" s="704">
        <v>100</v>
      </c>
      <c r="H405">
        <f t="shared" si="74"/>
        <v>2319</v>
      </c>
      <c r="I405" t="str">
        <f t="shared" si="75"/>
        <v>Rest of NSW</v>
      </c>
      <c r="P405" s="734"/>
      <c r="Q405" s="734"/>
      <c r="R405" s="734"/>
      <c r="S405" s="734"/>
      <c r="T405" s="734"/>
      <c r="U405" s="734"/>
      <c r="V405" s="734"/>
      <c r="W405" s="734"/>
      <c r="X405" s="734"/>
      <c r="Y405" s="734"/>
      <c r="Z405" s="734"/>
      <c r="AA405" s="734"/>
      <c r="AB405" s="734"/>
      <c r="AC405" s="734"/>
    </row>
    <row r="406" spans="1:29" x14ac:dyDescent="0.2">
      <c r="A406" s="704">
        <v>2320</v>
      </c>
      <c r="B406" s="704">
        <v>2320</v>
      </c>
      <c r="C406" s="704" t="s">
        <v>578</v>
      </c>
      <c r="D406" s="704" t="s">
        <v>530</v>
      </c>
      <c r="E406" s="704">
        <v>1</v>
      </c>
      <c r="F406" s="704">
        <v>100</v>
      </c>
      <c r="H406">
        <f t="shared" si="74"/>
        <v>2320</v>
      </c>
      <c r="I406" t="str">
        <f t="shared" si="75"/>
        <v>Rest of NSW</v>
      </c>
      <c r="P406" s="734"/>
      <c r="Q406" s="734"/>
      <c r="R406" s="734"/>
      <c r="S406" s="734"/>
      <c r="T406" s="734"/>
      <c r="U406" s="734"/>
      <c r="V406" s="734"/>
      <c r="W406" s="734"/>
      <c r="X406" s="734"/>
      <c r="Y406" s="734"/>
      <c r="Z406" s="734"/>
      <c r="AA406" s="734"/>
      <c r="AB406" s="734"/>
      <c r="AC406" s="734"/>
    </row>
    <row r="407" spans="1:29" x14ac:dyDescent="0.2">
      <c r="A407" s="704">
        <v>2321</v>
      </c>
      <c r="B407" s="704">
        <v>2321</v>
      </c>
      <c r="C407" s="704" t="s">
        <v>578</v>
      </c>
      <c r="D407" s="704" t="s">
        <v>530</v>
      </c>
      <c r="E407" s="704">
        <v>1</v>
      </c>
      <c r="F407" s="704">
        <v>100</v>
      </c>
      <c r="H407">
        <f t="shared" si="74"/>
        <v>2321</v>
      </c>
      <c r="I407" t="str">
        <f t="shared" si="75"/>
        <v>Rest of NSW</v>
      </c>
      <c r="P407" s="734"/>
      <c r="Q407" s="734"/>
      <c r="R407" s="734"/>
      <c r="S407" s="734"/>
      <c r="T407" s="734"/>
      <c r="U407" s="734"/>
      <c r="V407" s="734"/>
      <c r="W407" s="734"/>
      <c r="X407" s="734"/>
      <c r="Y407" s="734"/>
      <c r="Z407" s="734"/>
      <c r="AA407" s="734"/>
      <c r="AB407" s="734"/>
      <c r="AC407" s="734"/>
    </row>
    <row r="408" spans="1:29" x14ac:dyDescent="0.2">
      <c r="A408" s="704">
        <v>2322</v>
      </c>
      <c r="B408" s="704">
        <v>2322</v>
      </c>
      <c r="C408" s="704" t="s">
        <v>578</v>
      </c>
      <c r="D408" s="704" t="s">
        <v>530</v>
      </c>
      <c r="E408" s="704">
        <v>0.99975400000000003</v>
      </c>
      <c r="F408" s="704">
        <v>99.975399999999993</v>
      </c>
      <c r="H408">
        <f t="shared" si="74"/>
        <v>2322</v>
      </c>
      <c r="I408" t="str">
        <f t="shared" si="75"/>
        <v>Rest of NSW</v>
      </c>
      <c r="P408" s="734"/>
      <c r="Q408" s="734"/>
      <c r="R408" s="734"/>
      <c r="S408" s="734"/>
      <c r="T408" s="734"/>
      <c r="U408" s="734"/>
      <c r="V408" s="734"/>
      <c r="W408" s="734"/>
      <c r="X408" s="734"/>
      <c r="Y408" s="734"/>
      <c r="Z408" s="734"/>
      <c r="AA408" s="734"/>
      <c r="AB408" s="734"/>
      <c r="AC408" s="734"/>
    </row>
    <row r="409" spans="1:29" x14ac:dyDescent="0.2">
      <c r="A409" s="704">
        <v>2323</v>
      </c>
      <c r="B409" s="704">
        <v>2323</v>
      </c>
      <c r="C409" s="704" t="s">
        <v>578</v>
      </c>
      <c r="D409" s="704" t="s">
        <v>530</v>
      </c>
      <c r="E409" s="704">
        <v>1</v>
      </c>
      <c r="F409" s="704">
        <v>100</v>
      </c>
      <c r="H409">
        <f t="shared" si="74"/>
        <v>2323</v>
      </c>
      <c r="I409" t="str">
        <f t="shared" si="75"/>
        <v>Rest of NSW</v>
      </c>
      <c r="P409" s="734"/>
      <c r="Q409" s="734"/>
      <c r="R409" s="734"/>
      <c r="S409" s="734"/>
      <c r="T409" s="734"/>
      <c r="U409" s="734"/>
      <c r="V409" s="734"/>
      <c r="W409" s="734"/>
      <c r="X409" s="734"/>
      <c r="Y409" s="734"/>
      <c r="Z409" s="734"/>
      <c r="AA409" s="734"/>
      <c r="AB409" s="734"/>
      <c r="AC409" s="734"/>
    </row>
    <row r="410" spans="1:29" x14ac:dyDescent="0.2">
      <c r="A410" s="704">
        <v>2324</v>
      </c>
      <c r="B410" s="704">
        <v>2324</v>
      </c>
      <c r="C410" s="704" t="s">
        <v>578</v>
      </c>
      <c r="D410" s="704" t="s">
        <v>530</v>
      </c>
      <c r="E410" s="704">
        <v>0.99922100000000003</v>
      </c>
      <c r="F410" s="704">
        <v>99.9221</v>
      </c>
      <c r="H410">
        <f t="shared" si="74"/>
        <v>2324</v>
      </c>
      <c r="I410" t="str">
        <f t="shared" si="75"/>
        <v>Rest of NSW</v>
      </c>
      <c r="P410" s="734"/>
      <c r="Q410" s="734"/>
      <c r="R410" s="734"/>
      <c r="S410" s="734"/>
      <c r="T410" s="734"/>
      <c r="U410" s="734"/>
      <c r="V410" s="734"/>
      <c r="W410" s="734"/>
      <c r="X410" s="734"/>
      <c r="Y410" s="734"/>
      <c r="Z410" s="734"/>
      <c r="AA410" s="734"/>
      <c r="AB410" s="734"/>
      <c r="AC410" s="734"/>
    </row>
    <row r="411" spans="1:29" x14ac:dyDescent="0.2">
      <c r="A411" s="704">
        <v>2325</v>
      </c>
      <c r="B411" s="704">
        <v>2325</v>
      </c>
      <c r="C411" s="704" t="s">
        <v>578</v>
      </c>
      <c r="D411" s="704" t="s">
        <v>530</v>
      </c>
      <c r="E411" s="704">
        <v>1</v>
      </c>
      <c r="F411" s="704">
        <v>100</v>
      </c>
      <c r="H411">
        <f t="shared" si="74"/>
        <v>2325</v>
      </c>
      <c r="I411" t="str">
        <f t="shared" si="75"/>
        <v>Rest of NSW</v>
      </c>
      <c r="P411" s="734"/>
      <c r="Q411" s="734"/>
      <c r="R411" s="734"/>
      <c r="S411" s="734"/>
      <c r="T411" s="734"/>
      <c r="U411" s="734"/>
      <c r="V411" s="734"/>
      <c r="W411" s="734"/>
      <c r="X411" s="734"/>
      <c r="Y411" s="734"/>
      <c r="Z411" s="734"/>
      <c r="AA411" s="734"/>
      <c r="AB411" s="734"/>
      <c r="AC411" s="734"/>
    </row>
    <row r="412" spans="1:29" x14ac:dyDescent="0.2">
      <c r="A412" s="704">
        <v>2326</v>
      </c>
      <c r="B412" s="704">
        <v>2326</v>
      </c>
      <c r="C412" s="704" t="s">
        <v>578</v>
      </c>
      <c r="D412" s="704" t="s">
        <v>530</v>
      </c>
      <c r="E412" s="704">
        <v>1</v>
      </c>
      <c r="F412" s="704">
        <v>100</v>
      </c>
      <c r="H412">
        <f t="shared" si="74"/>
        <v>2326</v>
      </c>
      <c r="I412" t="str">
        <f t="shared" si="75"/>
        <v>Rest of NSW</v>
      </c>
      <c r="P412" s="734"/>
      <c r="Q412" s="734"/>
      <c r="R412" s="734"/>
      <c r="S412" s="734"/>
      <c r="T412" s="734"/>
      <c r="U412" s="734"/>
      <c r="V412" s="734"/>
      <c r="W412" s="734"/>
      <c r="X412" s="734"/>
      <c r="Y412" s="734"/>
      <c r="Z412" s="734"/>
      <c r="AA412" s="734"/>
      <c r="AB412" s="734"/>
      <c r="AC412" s="734"/>
    </row>
    <row r="413" spans="1:29" x14ac:dyDescent="0.2">
      <c r="A413" s="704">
        <v>2327</v>
      </c>
      <c r="B413" s="704">
        <v>2327</v>
      </c>
      <c r="C413" s="704" t="s">
        <v>578</v>
      </c>
      <c r="D413" s="704" t="s">
        <v>530</v>
      </c>
      <c r="E413" s="704">
        <v>1</v>
      </c>
      <c r="F413" s="704">
        <v>100</v>
      </c>
      <c r="H413">
        <f t="shared" si="74"/>
        <v>2327</v>
      </c>
      <c r="I413" t="str">
        <f t="shared" si="75"/>
        <v>Rest of NSW</v>
      </c>
      <c r="P413" s="734"/>
      <c r="Q413" s="734"/>
      <c r="R413" s="734"/>
      <c r="S413" s="734"/>
      <c r="T413" s="734"/>
      <c r="U413" s="734"/>
      <c r="V413" s="734"/>
      <c r="W413" s="734"/>
      <c r="X413" s="734"/>
      <c r="Y413" s="734"/>
      <c r="Z413" s="734"/>
      <c r="AA413" s="734"/>
      <c r="AB413" s="734"/>
      <c r="AC413" s="734"/>
    </row>
    <row r="414" spans="1:29" x14ac:dyDescent="0.2">
      <c r="A414" s="704">
        <v>2328</v>
      </c>
      <c r="B414" s="704">
        <v>2328</v>
      </c>
      <c r="C414" s="704" t="s">
        <v>578</v>
      </c>
      <c r="D414" s="704" t="s">
        <v>530</v>
      </c>
      <c r="E414" s="704">
        <v>1</v>
      </c>
      <c r="F414" s="704">
        <v>100</v>
      </c>
      <c r="H414">
        <f t="shared" si="74"/>
        <v>2328</v>
      </c>
      <c r="I414" t="str">
        <f t="shared" si="75"/>
        <v>Rest of NSW</v>
      </c>
      <c r="P414" s="734"/>
      <c r="Q414" s="734"/>
      <c r="R414" s="734"/>
      <c r="S414" s="734"/>
      <c r="T414" s="734"/>
      <c r="U414" s="734"/>
      <c r="V414" s="734"/>
      <c r="W414" s="734"/>
      <c r="X414" s="734"/>
      <c r="Y414" s="734"/>
      <c r="Z414" s="734"/>
      <c r="AA414" s="734"/>
      <c r="AB414" s="734"/>
      <c r="AC414" s="734"/>
    </row>
    <row r="415" spans="1:29" x14ac:dyDescent="0.2">
      <c r="A415" s="704">
        <v>2329</v>
      </c>
      <c r="B415" s="704">
        <v>2329</v>
      </c>
      <c r="C415" s="704" t="s">
        <v>578</v>
      </c>
      <c r="D415" s="704" t="s">
        <v>530</v>
      </c>
      <c r="E415" s="704">
        <v>1</v>
      </c>
      <c r="F415" s="704">
        <v>100</v>
      </c>
      <c r="H415">
        <f t="shared" si="74"/>
        <v>2329</v>
      </c>
      <c r="I415" t="str">
        <f t="shared" si="75"/>
        <v>Rest of NSW</v>
      </c>
      <c r="P415" s="734"/>
      <c r="Q415" s="734"/>
      <c r="R415" s="734"/>
      <c r="S415" s="734"/>
      <c r="T415" s="734"/>
      <c r="U415" s="734"/>
      <c r="V415" s="734"/>
      <c r="W415" s="734"/>
      <c r="X415" s="734"/>
      <c r="Y415" s="734"/>
      <c r="Z415" s="734"/>
      <c r="AA415" s="734"/>
      <c r="AB415" s="734"/>
      <c r="AC415" s="734"/>
    </row>
    <row r="416" spans="1:29" x14ac:dyDescent="0.2">
      <c r="A416" s="704">
        <v>2330</v>
      </c>
      <c r="B416" s="704">
        <v>2330</v>
      </c>
      <c r="C416" s="704" t="s">
        <v>578</v>
      </c>
      <c r="D416" s="704" t="s">
        <v>530</v>
      </c>
      <c r="E416" s="704">
        <v>1</v>
      </c>
      <c r="F416" s="704">
        <v>100</v>
      </c>
      <c r="H416">
        <f t="shared" si="74"/>
        <v>2330</v>
      </c>
      <c r="I416" t="str">
        <f t="shared" si="75"/>
        <v>Rest of NSW</v>
      </c>
      <c r="P416" s="734"/>
      <c r="Q416" s="734"/>
      <c r="R416" s="734"/>
      <c r="S416" s="734"/>
      <c r="T416" s="734"/>
      <c r="U416" s="734"/>
      <c r="V416" s="734"/>
      <c r="W416" s="734"/>
      <c r="X416" s="734"/>
      <c r="Y416" s="734"/>
      <c r="Z416" s="734"/>
      <c r="AA416" s="734"/>
      <c r="AB416" s="734"/>
      <c r="AC416" s="734"/>
    </row>
    <row r="417" spans="1:29" x14ac:dyDescent="0.2">
      <c r="A417" s="704">
        <v>2331</v>
      </c>
      <c r="B417" s="704">
        <v>2331</v>
      </c>
      <c r="C417" s="704" t="s">
        <v>578</v>
      </c>
      <c r="D417" s="704" t="s">
        <v>530</v>
      </c>
      <c r="E417" s="704">
        <v>1</v>
      </c>
      <c r="F417" s="704">
        <v>100</v>
      </c>
      <c r="H417">
        <f t="shared" si="74"/>
        <v>2331</v>
      </c>
      <c r="I417" t="str">
        <f t="shared" si="75"/>
        <v>Rest of NSW</v>
      </c>
      <c r="P417" s="734"/>
      <c r="Q417" s="734"/>
      <c r="R417" s="734"/>
      <c r="S417" s="734"/>
      <c r="T417" s="734"/>
      <c r="U417" s="734"/>
      <c r="V417" s="734"/>
      <c r="W417" s="734"/>
      <c r="X417" s="734"/>
      <c r="Y417" s="734"/>
      <c r="Z417" s="734"/>
      <c r="AA417" s="734"/>
      <c r="AB417" s="734"/>
      <c r="AC417" s="734"/>
    </row>
    <row r="418" spans="1:29" x14ac:dyDescent="0.2">
      <c r="A418" s="704">
        <v>2333</v>
      </c>
      <c r="B418" s="704">
        <v>2333</v>
      </c>
      <c r="C418" s="704" t="s">
        <v>578</v>
      </c>
      <c r="D418" s="704" t="s">
        <v>530</v>
      </c>
      <c r="E418" s="704">
        <v>1</v>
      </c>
      <c r="F418" s="704">
        <v>100</v>
      </c>
      <c r="H418">
        <f t="shared" si="74"/>
        <v>2333</v>
      </c>
      <c r="I418" t="str">
        <f t="shared" si="75"/>
        <v>Rest of NSW</v>
      </c>
      <c r="P418" s="734"/>
      <c r="Q418" s="734"/>
      <c r="R418" s="734"/>
      <c r="S418" s="734"/>
      <c r="T418" s="734"/>
      <c r="U418" s="734"/>
      <c r="V418" s="734"/>
      <c r="W418" s="734"/>
      <c r="X418" s="734"/>
      <c r="Y418" s="734"/>
      <c r="Z418" s="734"/>
      <c r="AA418" s="734"/>
      <c r="AB418" s="734"/>
      <c r="AC418" s="734"/>
    </row>
    <row r="419" spans="1:29" x14ac:dyDescent="0.2">
      <c r="A419" s="704">
        <v>2334</v>
      </c>
      <c r="B419" s="704">
        <v>2334</v>
      </c>
      <c r="C419" s="704" t="s">
        <v>578</v>
      </c>
      <c r="D419" s="704" t="s">
        <v>530</v>
      </c>
      <c r="E419" s="704">
        <v>1</v>
      </c>
      <c r="F419" s="704">
        <v>100</v>
      </c>
      <c r="H419">
        <f t="shared" si="74"/>
        <v>2334</v>
      </c>
      <c r="I419" t="str">
        <f t="shared" si="75"/>
        <v>Rest of NSW</v>
      </c>
      <c r="P419" s="734"/>
      <c r="Q419" s="734"/>
      <c r="R419" s="734"/>
      <c r="S419" s="734"/>
      <c r="T419" s="734"/>
      <c r="U419" s="734"/>
      <c r="V419" s="734"/>
      <c r="W419" s="734"/>
      <c r="X419" s="734"/>
      <c r="Y419" s="734"/>
      <c r="Z419" s="734"/>
      <c r="AA419" s="734"/>
      <c r="AB419" s="734"/>
      <c r="AC419" s="734"/>
    </row>
    <row r="420" spans="1:29" x14ac:dyDescent="0.2">
      <c r="A420" s="704">
        <v>2335</v>
      </c>
      <c r="B420" s="704">
        <v>2335</v>
      </c>
      <c r="C420" s="704" t="s">
        <v>578</v>
      </c>
      <c r="D420" s="704" t="s">
        <v>530</v>
      </c>
      <c r="E420" s="704">
        <v>1</v>
      </c>
      <c r="F420" s="704">
        <v>100</v>
      </c>
      <c r="H420">
        <f t="shared" si="74"/>
        <v>2335</v>
      </c>
      <c r="I420" t="str">
        <f t="shared" si="75"/>
        <v>Rest of NSW</v>
      </c>
      <c r="P420" s="734"/>
      <c r="Q420" s="734"/>
      <c r="R420" s="734"/>
      <c r="S420" s="734"/>
      <c r="T420" s="734"/>
      <c r="U420" s="734"/>
      <c r="V420" s="734"/>
      <c r="W420" s="734"/>
      <c r="X420" s="734"/>
      <c r="Y420" s="734"/>
      <c r="Z420" s="734"/>
      <c r="AA420" s="734"/>
      <c r="AB420" s="734"/>
      <c r="AC420" s="734"/>
    </row>
    <row r="421" spans="1:29" x14ac:dyDescent="0.2">
      <c r="A421" s="704">
        <v>2336</v>
      </c>
      <c r="B421" s="704">
        <v>2336</v>
      </c>
      <c r="C421" s="704" t="s">
        <v>578</v>
      </c>
      <c r="D421" s="704" t="s">
        <v>530</v>
      </c>
      <c r="E421" s="704">
        <v>1</v>
      </c>
      <c r="F421" s="704">
        <v>100</v>
      </c>
      <c r="H421">
        <f t="shared" si="74"/>
        <v>2336</v>
      </c>
      <c r="I421" t="str">
        <f t="shared" si="75"/>
        <v>Rest of NSW</v>
      </c>
      <c r="P421" s="734"/>
      <c r="Q421" s="734"/>
      <c r="R421" s="734"/>
      <c r="S421" s="734"/>
      <c r="T421" s="734"/>
      <c r="U421" s="734"/>
      <c r="V421" s="734"/>
      <c r="W421" s="734"/>
      <c r="X421" s="734"/>
      <c r="Y421" s="734"/>
      <c r="Z421" s="734"/>
      <c r="AA421" s="734"/>
      <c r="AB421" s="734"/>
      <c r="AC421" s="734"/>
    </row>
    <row r="422" spans="1:29" x14ac:dyDescent="0.2">
      <c r="A422" s="704">
        <v>2337</v>
      </c>
      <c r="B422" s="704">
        <v>2337</v>
      </c>
      <c r="C422" s="704" t="s">
        <v>578</v>
      </c>
      <c r="D422" s="704" t="s">
        <v>530</v>
      </c>
      <c r="E422" s="704">
        <v>1</v>
      </c>
      <c r="F422" s="704">
        <v>100</v>
      </c>
      <c r="H422">
        <f t="shared" si="74"/>
        <v>2337</v>
      </c>
      <c r="I422" t="str">
        <f t="shared" si="75"/>
        <v>Rest of NSW</v>
      </c>
      <c r="P422" s="734"/>
      <c r="Q422" s="734"/>
      <c r="R422" s="734"/>
      <c r="S422" s="734"/>
      <c r="T422" s="734"/>
      <c r="U422" s="734"/>
      <c r="V422" s="734"/>
      <c r="W422" s="734"/>
      <c r="X422" s="734"/>
      <c r="Y422" s="734"/>
      <c r="Z422" s="734"/>
      <c r="AA422" s="734"/>
      <c r="AB422" s="734"/>
      <c r="AC422" s="734"/>
    </row>
    <row r="423" spans="1:29" x14ac:dyDescent="0.2">
      <c r="A423" s="704">
        <v>2338</v>
      </c>
      <c r="B423" s="704">
        <v>2338</v>
      </c>
      <c r="C423" s="704" t="s">
        <v>578</v>
      </c>
      <c r="D423" s="704" t="s">
        <v>530</v>
      </c>
      <c r="E423" s="704">
        <v>1</v>
      </c>
      <c r="F423" s="704">
        <v>100</v>
      </c>
      <c r="H423">
        <f t="shared" si="74"/>
        <v>2338</v>
      </c>
      <c r="I423" t="str">
        <f t="shared" si="75"/>
        <v>Rest of NSW</v>
      </c>
      <c r="P423" s="734"/>
      <c r="Q423" s="734"/>
      <c r="R423" s="734"/>
      <c r="S423" s="734"/>
      <c r="T423" s="734"/>
      <c r="U423" s="734"/>
      <c r="V423" s="734"/>
      <c r="W423" s="734"/>
      <c r="X423" s="734"/>
      <c r="Y423" s="734"/>
      <c r="Z423" s="734"/>
      <c r="AA423" s="734"/>
      <c r="AB423" s="734"/>
      <c r="AC423" s="734"/>
    </row>
    <row r="424" spans="1:29" x14ac:dyDescent="0.2">
      <c r="A424" s="704">
        <v>2339</v>
      </c>
      <c r="B424" s="704">
        <v>2339</v>
      </c>
      <c r="C424" s="704" t="s">
        <v>578</v>
      </c>
      <c r="D424" s="704" t="s">
        <v>530</v>
      </c>
      <c r="E424" s="704">
        <v>1</v>
      </c>
      <c r="F424" s="704">
        <v>100</v>
      </c>
      <c r="H424">
        <f t="shared" si="74"/>
        <v>2339</v>
      </c>
      <c r="I424" t="str">
        <f t="shared" si="75"/>
        <v>Rest of NSW</v>
      </c>
      <c r="P424" s="734"/>
      <c r="Q424" s="734"/>
      <c r="R424" s="734"/>
      <c r="S424" s="734"/>
      <c r="T424" s="734"/>
      <c r="U424" s="734"/>
      <c r="V424" s="734"/>
      <c r="W424" s="734"/>
      <c r="X424" s="734"/>
      <c r="Y424" s="734"/>
      <c r="Z424" s="734"/>
      <c r="AA424" s="734"/>
      <c r="AB424" s="734"/>
      <c r="AC424" s="734"/>
    </row>
    <row r="425" spans="1:29" x14ac:dyDescent="0.2">
      <c r="A425" s="704">
        <v>2340</v>
      </c>
      <c r="B425" s="704">
        <v>2340</v>
      </c>
      <c r="C425" s="704" t="s">
        <v>578</v>
      </c>
      <c r="D425" s="704" t="s">
        <v>530</v>
      </c>
      <c r="E425" s="704">
        <v>1</v>
      </c>
      <c r="F425" s="704">
        <v>100</v>
      </c>
      <c r="H425">
        <f t="shared" si="74"/>
        <v>2340</v>
      </c>
      <c r="I425" t="str">
        <f t="shared" si="75"/>
        <v>Rest of NSW</v>
      </c>
      <c r="P425" s="734"/>
      <c r="Q425" s="734"/>
      <c r="R425" s="734"/>
      <c r="S425" s="734"/>
      <c r="T425" s="734"/>
      <c r="U425" s="734"/>
      <c r="V425" s="734"/>
      <c r="W425" s="734"/>
      <c r="X425" s="734"/>
      <c r="Y425" s="734"/>
      <c r="Z425" s="734"/>
      <c r="AA425" s="734"/>
      <c r="AB425" s="734"/>
      <c r="AC425" s="734"/>
    </row>
    <row r="426" spans="1:29" x14ac:dyDescent="0.2">
      <c r="A426" s="704">
        <v>2341</v>
      </c>
      <c r="B426" s="704">
        <v>2341</v>
      </c>
      <c r="C426" s="704" t="s">
        <v>578</v>
      </c>
      <c r="D426" s="704" t="s">
        <v>530</v>
      </c>
      <c r="E426" s="704">
        <v>1</v>
      </c>
      <c r="F426" s="704">
        <v>100</v>
      </c>
      <c r="H426">
        <f t="shared" si="74"/>
        <v>2341</v>
      </c>
      <c r="I426" t="str">
        <f t="shared" si="75"/>
        <v>Rest of NSW</v>
      </c>
      <c r="P426" s="734"/>
      <c r="Q426" s="734"/>
      <c r="R426" s="734"/>
      <c r="S426" s="734"/>
      <c r="T426" s="734"/>
      <c r="U426" s="734"/>
      <c r="V426" s="734"/>
      <c r="W426" s="734"/>
      <c r="X426" s="734"/>
      <c r="Y426" s="734"/>
      <c r="Z426" s="734"/>
      <c r="AA426" s="734"/>
      <c r="AB426" s="734"/>
      <c r="AC426" s="734"/>
    </row>
    <row r="427" spans="1:29" x14ac:dyDescent="0.2">
      <c r="A427" s="704">
        <v>2342</v>
      </c>
      <c r="B427" s="704">
        <v>2342</v>
      </c>
      <c r="C427" s="704" t="s">
        <v>578</v>
      </c>
      <c r="D427" s="704" t="s">
        <v>530</v>
      </c>
      <c r="E427" s="704">
        <v>1</v>
      </c>
      <c r="F427" s="704">
        <v>100</v>
      </c>
      <c r="H427">
        <f t="shared" si="74"/>
        <v>2342</v>
      </c>
      <c r="I427" t="str">
        <f t="shared" si="75"/>
        <v>Rest of NSW</v>
      </c>
      <c r="P427" s="734"/>
      <c r="Q427" s="734"/>
      <c r="R427" s="734"/>
      <c r="S427" s="734"/>
      <c r="T427" s="734"/>
      <c r="U427" s="734"/>
      <c r="V427" s="734"/>
      <c r="W427" s="734"/>
      <c r="X427" s="734"/>
      <c r="Y427" s="734"/>
      <c r="Z427" s="734"/>
      <c r="AA427" s="734"/>
      <c r="AB427" s="734"/>
      <c r="AC427" s="734"/>
    </row>
    <row r="428" spans="1:29" x14ac:dyDescent="0.2">
      <c r="A428" s="704">
        <v>2343</v>
      </c>
      <c r="B428" s="704">
        <v>2343</v>
      </c>
      <c r="C428" s="704" t="s">
        <v>578</v>
      </c>
      <c r="D428" s="704" t="s">
        <v>530</v>
      </c>
      <c r="E428" s="704">
        <v>1</v>
      </c>
      <c r="F428" s="704">
        <v>100</v>
      </c>
      <c r="H428">
        <f t="shared" si="74"/>
        <v>2343</v>
      </c>
      <c r="I428" t="str">
        <f t="shared" si="75"/>
        <v>Rest of NSW</v>
      </c>
      <c r="P428" s="734"/>
      <c r="Q428" s="734"/>
      <c r="R428" s="734"/>
      <c r="S428" s="734"/>
      <c r="T428" s="734"/>
      <c r="U428" s="734"/>
      <c r="V428" s="734"/>
      <c r="W428" s="734"/>
      <c r="X428" s="734"/>
      <c r="Y428" s="734"/>
      <c r="Z428" s="734"/>
      <c r="AA428" s="734"/>
      <c r="AB428" s="734"/>
      <c r="AC428" s="734"/>
    </row>
    <row r="429" spans="1:29" x14ac:dyDescent="0.2">
      <c r="A429" s="704">
        <v>2344</v>
      </c>
      <c r="B429" s="704">
        <v>2344</v>
      </c>
      <c r="C429" s="704" t="s">
        <v>578</v>
      </c>
      <c r="D429" s="704" t="s">
        <v>530</v>
      </c>
      <c r="E429" s="704">
        <v>1</v>
      </c>
      <c r="F429" s="704">
        <v>100</v>
      </c>
      <c r="H429">
        <f t="shared" si="74"/>
        <v>2344</v>
      </c>
      <c r="I429" t="str">
        <f t="shared" si="75"/>
        <v>Rest of NSW</v>
      </c>
      <c r="P429" s="734"/>
      <c r="Q429" s="734"/>
      <c r="R429" s="734"/>
      <c r="S429" s="734"/>
      <c r="T429" s="734"/>
      <c r="U429" s="734"/>
      <c r="V429" s="734"/>
      <c r="W429" s="734"/>
      <c r="X429" s="734"/>
      <c r="Y429" s="734"/>
      <c r="Z429" s="734"/>
      <c r="AA429" s="734"/>
      <c r="AB429" s="734"/>
      <c r="AC429" s="734"/>
    </row>
    <row r="430" spans="1:29" x14ac:dyDescent="0.2">
      <c r="A430" s="704">
        <v>2345</v>
      </c>
      <c r="B430" s="704">
        <v>2345</v>
      </c>
      <c r="C430" s="704" t="s">
        <v>578</v>
      </c>
      <c r="D430" s="704" t="s">
        <v>530</v>
      </c>
      <c r="E430" s="704">
        <v>1</v>
      </c>
      <c r="F430" s="704">
        <v>100</v>
      </c>
      <c r="H430">
        <f t="shared" si="74"/>
        <v>2345</v>
      </c>
      <c r="I430" t="str">
        <f t="shared" si="75"/>
        <v>Rest of NSW</v>
      </c>
      <c r="P430" s="734"/>
      <c r="Q430" s="734"/>
      <c r="R430" s="734"/>
      <c r="S430" s="734"/>
      <c r="T430" s="734"/>
      <c r="U430" s="734"/>
      <c r="V430" s="734"/>
      <c r="W430" s="734"/>
      <c r="X430" s="734"/>
      <c r="Y430" s="734"/>
      <c r="Z430" s="734"/>
      <c r="AA430" s="734"/>
      <c r="AB430" s="734"/>
      <c r="AC430" s="734"/>
    </row>
    <row r="431" spans="1:29" x14ac:dyDescent="0.2">
      <c r="A431" s="704">
        <v>2346</v>
      </c>
      <c r="B431" s="704">
        <v>2346</v>
      </c>
      <c r="C431" s="704" t="s">
        <v>578</v>
      </c>
      <c r="D431" s="704" t="s">
        <v>530</v>
      </c>
      <c r="E431" s="704">
        <v>1</v>
      </c>
      <c r="F431" s="704">
        <v>100</v>
      </c>
      <c r="H431">
        <f t="shared" si="74"/>
        <v>2346</v>
      </c>
      <c r="I431" t="str">
        <f t="shared" si="75"/>
        <v>Rest of NSW</v>
      </c>
      <c r="P431" s="734"/>
      <c r="Q431" s="734"/>
      <c r="R431" s="734"/>
      <c r="S431" s="734"/>
      <c r="T431" s="734"/>
      <c r="U431" s="734"/>
      <c r="V431" s="734"/>
      <c r="W431" s="734"/>
      <c r="X431" s="734"/>
      <c r="Y431" s="734"/>
      <c r="Z431" s="734"/>
      <c r="AA431" s="734"/>
      <c r="AB431" s="734"/>
      <c r="AC431" s="734"/>
    </row>
    <row r="432" spans="1:29" x14ac:dyDescent="0.2">
      <c r="A432" s="704">
        <v>2347</v>
      </c>
      <c r="B432" s="704">
        <v>2347</v>
      </c>
      <c r="C432" s="704" t="s">
        <v>578</v>
      </c>
      <c r="D432" s="704" t="s">
        <v>530</v>
      </c>
      <c r="E432" s="704">
        <v>1</v>
      </c>
      <c r="F432" s="704">
        <v>100</v>
      </c>
      <c r="H432">
        <f t="shared" si="74"/>
        <v>2347</v>
      </c>
      <c r="I432" t="str">
        <f t="shared" si="75"/>
        <v>Rest of NSW</v>
      </c>
      <c r="P432" s="734"/>
      <c r="Q432" s="734"/>
      <c r="R432" s="734"/>
      <c r="S432" s="734"/>
      <c r="T432" s="734"/>
      <c r="U432" s="734"/>
      <c r="V432" s="734"/>
      <c r="W432" s="734"/>
      <c r="X432" s="734"/>
      <c r="Y432" s="734"/>
      <c r="Z432" s="734"/>
      <c r="AA432" s="734"/>
      <c r="AB432" s="734"/>
      <c r="AC432" s="734"/>
    </row>
    <row r="433" spans="1:29" x14ac:dyDescent="0.2">
      <c r="A433" s="704">
        <v>2350</v>
      </c>
      <c r="B433" s="704">
        <v>2350</v>
      </c>
      <c r="C433" s="704" t="s">
        <v>578</v>
      </c>
      <c r="D433" s="704" t="s">
        <v>530</v>
      </c>
      <c r="E433" s="704">
        <v>1</v>
      </c>
      <c r="F433" s="704">
        <v>100</v>
      </c>
      <c r="H433">
        <f t="shared" si="74"/>
        <v>2350</v>
      </c>
      <c r="I433" t="str">
        <f t="shared" si="75"/>
        <v>Rest of NSW</v>
      </c>
      <c r="P433" s="734"/>
      <c r="Q433" s="734"/>
      <c r="R433" s="734"/>
      <c r="S433" s="734"/>
      <c r="T433" s="734"/>
      <c r="U433" s="734"/>
      <c r="V433" s="734"/>
      <c r="W433" s="734"/>
      <c r="X433" s="734"/>
      <c r="Y433" s="734"/>
      <c r="Z433" s="734"/>
      <c r="AA433" s="734"/>
      <c r="AB433" s="734"/>
      <c r="AC433" s="734"/>
    </row>
    <row r="434" spans="1:29" x14ac:dyDescent="0.2">
      <c r="A434" s="704">
        <v>2351</v>
      </c>
      <c r="B434" s="704">
        <v>2351</v>
      </c>
      <c r="C434" s="704" t="s">
        <v>578</v>
      </c>
      <c r="D434" s="704" t="s">
        <v>530</v>
      </c>
      <c r="E434" s="704">
        <v>1</v>
      </c>
      <c r="F434" s="704">
        <v>100</v>
      </c>
      <c r="H434">
        <f t="shared" si="74"/>
        <v>2351</v>
      </c>
      <c r="I434" t="str">
        <f t="shared" si="75"/>
        <v>Rest of NSW</v>
      </c>
      <c r="P434" s="734"/>
      <c r="Q434" s="734"/>
      <c r="R434" s="734"/>
      <c r="S434" s="734"/>
      <c r="T434" s="734"/>
      <c r="U434" s="734"/>
      <c r="V434" s="734"/>
      <c r="W434" s="734"/>
      <c r="X434" s="734"/>
      <c r="Y434" s="734"/>
      <c r="Z434" s="734"/>
      <c r="AA434" s="734"/>
      <c r="AB434" s="734"/>
      <c r="AC434" s="734"/>
    </row>
    <row r="435" spans="1:29" x14ac:dyDescent="0.2">
      <c r="A435" s="704">
        <v>2352</v>
      </c>
      <c r="B435" s="704">
        <v>2352</v>
      </c>
      <c r="C435" s="704" t="s">
        <v>578</v>
      </c>
      <c r="D435" s="704" t="s">
        <v>530</v>
      </c>
      <c r="E435" s="704">
        <v>1</v>
      </c>
      <c r="F435" s="704">
        <v>100</v>
      </c>
      <c r="H435">
        <f t="shared" si="74"/>
        <v>2352</v>
      </c>
      <c r="I435" t="str">
        <f t="shared" si="75"/>
        <v>Rest of NSW</v>
      </c>
      <c r="P435" s="734"/>
      <c r="Q435" s="734"/>
      <c r="R435" s="734"/>
      <c r="S435" s="734"/>
      <c r="T435" s="734"/>
      <c r="U435" s="734"/>
      <c r="V435" s="734"/>
      <c r="W435" s="734"/>
      <c r="X435" s="734"/>
      <c r="Y435" s="734"/>
      <c r="Z435" s="734"/>
      <c r="AA435" s="734"/>
      <c r="AB435" s="734"/>
      <c r="AC435" s="734"/>
    </row>
    <row r="436" spans="1:29" x14ac:dyDescent="0.2">
      <c r="A436" s="704">
        <v>2353</v>
      </c>
      <c r="B436" s="704">
        <v>2353</v>
      </c>
      <c r="C436" s="704" t="s">
        <v>578</v>
      </c>
      <c r="D436" s="704" t="s">
        <v>530</v>
      </c>
      <c r="E436" s="704">
        <v>1</v>
      </c>
      <c r="F436" s="704">
        <v>100</v>
      </c>
      <c r="H436">
        <f t="shared" si="74"/>
        <v>2353</v>
      </c>
      <c r="I436" t="str">
        <f t="shared" si="75"/>
        <v>Rest of NSW</v>
      </c>
      <c r="P436" s="734"/>
      <c r="Q436" s="734"/>
      <c r="R436" s="734"/>
      <c r="S436" s="734"/>
      <c r="T436" s="734"/>
      <c r="U436" s="734"/>
      <c r="V436" s="734"/>
      <c r="W436" s="734"/>
      <c r="X436" s="734"/>
      <c r="Y436" s="734"/>
      <c r="Z436" s="734"/>
      <c r="AA436" s="734"/>
      <c r="AB436" s="734"/>
      <c r="AC436" s="734"/>
    </row>
    <row r="437" spans="1:29" x14ac:dyDescent="0.2">
      <c r="A437" s="704">
        <v>2354</v>
      </c>
      <c r="B437" s="704">
        <v>2354</v>
      </c>
      <c r="C437" s="704" t="s">
        <v>578</v>
      </c>
      <c r="D437" s="704" t="s">
        <v>530</v>
      </c>
      <c r="E437" s="704">
        <v>1</v>
      </c>
      <c r="F437" s="704">
        <v>100</v>
      </c>
      <c r="H437">
        <f t="shared" si="74"/>
        <v>2354</v>
      </c>
      <c r="I437" t="str">
        <f t="shared" si="75"/>
        <v>Rest of NSW</v>
      </c>
      <c r="P437" s="734"/>
      <c r="Q437" s="734"/>
      <c r="R437" s="734"/>
      <c r="S437" s="734"/>
      <c r="T437" s="734"/>
      <c r="U437" s="734"/>
      <c r="V437" s="734"/>
      <c r="W437" s="734"/>
      <c r="X437" s="734"/>
      <c r="Y437" s="734"/>
      <c r="Z437" s="734"/>
      <c r="AA437" s="734"/>
      <c r="AB437" s="734"/>
      <c r="AC437" s="734"/>
    </row>
    <row r="438" spans="1:29" x14ac:dyDescent="0.2">
      <c r="A438" s="704">
        <v>2355</v>
      </c>
      <c r="B438" s="704">
        <v>2355</v>
      </c>
      <c r="C438" s="704" t="s">
        <v>578</v>
      </c>
      <c r="D438" s="704" t="s">
        <v>530</v>
      </c>
      <c r="E438" s="704">
        <v>1</v>
      </c>
      <c r="F438" s="704">
        <v>100</v>
      </c>
      <c r="H438">
        <f t="shared" si="74"/>
        <v>2355</v>
      </c>
      <c r="I438" t="str">
        <f t="shared" si="75"/>
        <v>Rest of NSW</v>
      </c>
      <c r="P438" s="734"/>
      <c r="Q438" s="734"/>
      <c r="R438" s="734"/>
      <c r="S438" s="734"/>
      <c r="T438" s="734"/>
      <c r="U438" s="734"/>
      <c r="V438" s="734"/>
      <c r="W438" s="734"/>
      <c r="X438" s="734"/>
      <c r="Y438" s="734"/>
      <c r="Z438" s="734"/>
      <c r="AA438" s="734"/>
      <c r="AB438" s="734"/>
      <c r="AC438" s="734"/>
    </row>
    <row r="439" spans="1:29" x14ac:dyDescent="0.2">
      <c r="A439" s="704">
        <v>2356</v>
      </c>
      <c r="B439" s="704">
        <v>2356</v>
      </c>
      <c r="C439" s="704" t="s">
        <v>578</v>
      </c>
      <c r="D439" s="704" t="s">
        <v>530</v>
      </c>
      <c r="E439" s="704">
        <v>1</v>
      </c>
      <c r="F439" s="704">
        <v>100</v>
      </c>
      <c r="H439">
        <f t="shared" si="74"/>
        <v>2356</v>
      </c>
      <c r="I439" t="str">
        <f t="shared" si="75"/>
        <v>Rest of NSW</v>
      </c>
      <c r="P439" s="734"/>
      <c r="Q439" s="734"/>
      <c r="R439" s="734"/>
      <c r="S439" s="734"/>
      <c r="T439" s="734"/>
      <c r="U439" s="734"/>
      <c r="V439" s="734"/>
      <c r="W439" s="734"/>
      <c r="X439" s="734"/>
      <c r="Y439" s="734"/>
      <c r="Z439" s="734"/>
      <c r="AA439" s="734"/>
      <c r="AB439" s="734"/>
      <c r="AC439" s="734"/>
    </row>
    <row r="440" spans="1:29" x14ac:dyDescent="0.2">
      <c r="A440" s="704">
        <v>2357</v>
      </c>
      <c r="B440" s="704">
        <v>2357</v>
      </c>
      <c r="C440" s="704" t="s">
        <v>578</v>
      </c>
      <c r="D440" s="704" t="s">
        <v>530</v>
      </c>
      <c r="E440" s="704">
        <v>1</v>
      </c>
      <c r="F440" s="704">
        <v>100</v>
      </c>
      <c r="H440">
        <f t="shared" si="74"/>
        <v>2357</v>
      </c>
      <c r="I440" t="str">
        <f t="shared" si="75"/>
        <v>Rest of NSW</v>
      </c>
      <c r="P440" s="734"/>
      <c r="Q440" s="734"/>
      <c r="R440" s="734"/>
      <c r="S440" s="734"/>
      <c r="T440" s="734"/>
      <c r="U440" s="734"/>
      <c r="V440" s="734"/>
      <c r="W440" s="734"/>
      <c r="X440" s="734"/>
      <c r="Y440" s="734"/>
      <c r="Z440" s="734"/>
      <c r="AA440" s="734"/>
      <c r="AB440" s="734"/>
      <c r="AC440" s="734"/>
    </row>
    <row r="441" spans="1:29" x14ac:dyDescent="0.2">
      <c r="A441" s="704">
        <v>2358</v>
      </c>
      <c r="B441" s="704">
        <v>2358</v>
      </c>
      <c r="C441" s="704" t="s">
        <v>578</v>
      </c>
      <c r="D441" s="704" t="s">
        <v>530</v>
      </c>
      <c r="E441" s="704">
        <v>1</v>
      </c>
      <c r="F441" s="704">
        <v>100</v>
      </c>
      <c r="H441">
        <f t="shared" ref="H441:H504" si="76">A441*1</f>
        <v>2358</v>
      </c>
      <c r="I441" t="str">
        <f t="shared" ref="I441:I504" si="77">D441</f>
        <v>Rest of NSW</v>
      </c>
      <c r="P441" s="734"/>
      <c r="Q441" s="734"/>
      <c r="R441" s="734"/>
      <c r="S441" s="734"/>
      <c r="T441" s="734"/>
      <c r="U441" s="734"/>
      <c r="V441" s="734"/>
      <c r="W441" s="734"/>
      <c r="X441" s="734"/>
      <c r="Y441" s="734"/>
      <c r="Z441" s="734"/>
      <c r="AA441" s="734"/>
      <c r="AB441" s="734"/>
      <c r="AC441" s="734"/>
    </row>
    <row r="442" spans="1:29" x14ac:dyDescent="0.2">
      <c r="A442" s="704">
        <v>2359</v>
      </c>
      <c r="B442" s="704">
        <v>2359</v>
      </c>
      <c r="C442" s="704" t="s">
        <v>578</v>
      </c>
      <c r="D442" s="704" t="s">
        <v>530</v>
      </c>
      <c r="E442" s="704">
        <v>1</v>
      </c>
      <c r="F442" s="704">
        <v>100</v>
      </c>
      <c r="H442">
        <f t="shared" si="76"/>
        <v>2359</v>
      </c>
      <c r="I442" t="str">
        <f t="shared" si="77"/>
        <v>Rest of NSW</v>
      </c>
      <c r="P442" s="734"/>
      <c r="Q442" s="734"/>
      <c r="R442" s="734"/>
      <c r="S442" s="734"/>
      <c r="T442" s="734"/>
      <c r="U442" s="734"/>
      <c r="V442" s="734"/>
      <c r="W442" s="734"/>
      <c r="X442" s="734"/>
      <c r="Y442" s="734"/>
      <c r="Z442" s="734"/>
      <c r="AA442" s="734"/>
      <c r="AB442" s="734"/>
      <c r="AC442" s="734"/>
    </row>
    <row r="443" spans="1:29" x14ac:dyDescent="0.2">
      <c r="A443" s="704">
        <v>2360</v>
      </c>
      <c r="B443" s="704">
        <v>2360</v>
      </c>
      <c r="C443" s="704" t="s">
        <v>578</v>
      </c>
      <c r="D443" s="704" t="s">
        <v>530</v>
      </c>
      <c r="E443" s="704">
        <v>1</v>
      </c>
      <c r="F443" s="704">
        <v>100</v>
      </c>
      <c r="H443">
        <f t="shared" si="76"/>
        <v>2360</v>
      </c>
      <c r="I443" t="str">
        <f t="shared" si="77"/>
        <v>Rest of NSW</v>
      </c>
      <c r="P443" s="734"/>
      <c r="Q443" s="734"/>
      <c r="R443" s="734"/>
      <c r="S443" s="734"/>
      <c r="T443" s="734"/>
      <c r="U443" s="734"/>
      <c r="V443" s="734"/>
      <c r="W443" s="734"/>
      <c r="X443" s="734"/>
      <c r="Y443" s="734"/>
      <c r="Z443" s="734"/>
      <c r="AA443" s="734"/>
      <c r="AB443" s="734"/>
      <c r="AC443" s="734"/>
    </row>
    <row r="444" spans="1:29" x14ac:dyDescent="0.2">
      <c r="A444" s="704">
        <v>2361</v>
      </c>
      <c r="B444" s="704">
        <v>2361</v>
      </c>
      <c r="C444" s="704" t="s">
        <v>578</v>
      </c>
      <c r="D444" s="704" t="s">
        <v>530</v>
      </c>
      <c r="E444" s="704">
        <v>1</v>
      </c>
      <c r="F444" s="704">
        <v>100</v>
      </c>
      <c r="H444">
        <f t="shared" si="76"/>
        <v>2361</v>
      </c>
      <c r="I444" t="str">
        <f t="shared" si="77"/>
        <v>Rest of NSW</v>
      </c>
      <c r="P444" s="734"/>
      <c r="Q444" s="734"/>
      <c r="R444" s="734"/>
      <c r="S444" s="734"/>
      <c r="T444" s="734"/>
      <c r="U444" s="734"/>
      <c r="V444" s="734"/>
      <c r="W444" s="734"/>
      <c r="X444" s="734"/>
      <c r="Y444" s="734"/>
      <c r="Z444" s="734"/>
      <c r="AA444" s="734"/>
      <c r="AB444" s="734"/>
      <c r="AC444" s="734"/>
    </row>
    <row r="445" spans="1:29" x14ac:dyDescent="0.2">
      <c r="A445" s="704">
        <v>2365</v>
      </c>
      <c r="B445" s="704">
        <v>2365</v>
      </c>
      <c r="C445" s="704" t="s">
        <v>578</v>
      </c>
      <c r="D445" s="704" t="s">
        <v>530</v>
      </c>
      <c r="E445" s="704">
        <v>1</v>
      </c>
      <c r="F445" s="704">
        <v>100</v>
      </c>
      <c r="H445">
        <f t="shared" si="76"/>
        <v>2365</v>
      </c>
      <c r="I445" t="str">
        <f t="shared" si="77"/>
        <v>Rest of NSW</v>
      </c>
      <c r="P445" s="734"/>
      <c r="Q445" s="734"/>
      <c r="R445" s="734"/>
      <c r="S445" s="734"/>
      <c r="T445" s="734"/>
      <c r="U445" s="734"/>
      <c r="V445" s="734"/>
      <c r="W445" s="734"/>
      <c r="X445" s="734"/>
      <c r="Y445" s="734"/>
      <c r="Z445" s="734"/>
      <c r="AA445" s="734"/>
      <c r="AB445" s="734"/>
      <c r="AC445" s="734"/>
    </row>
    <row r="446" spans="1:29" x14ac:dyDescent="0.2">
      <c r="A446" s="704">
        <v>2369</v>
      </c>
      <c r="B446" s="704">
        <v>2369</v>
      </c>
      <c r="C446" s="704" t="s">
        <v>578</v>
      </c>
      <c r="D446" s="704" t="s">
        <v>530</v>
      </c>
      <c r="E446" s="704">
        <v>1</v>
      </c>
      <c r="F446" s="704">
        <v>100</v>
      </c>
      <c r="H446">
        <f t="shared" si="76"/>
        <v>2369</v>
      </c>
      <c r="I446" t="str">
        <f t="shared" si="77"/>
        <v>Rest of NSW</v>
      </c>
      <c r="P446" s="734"/>
      <c r="Q446" s="734"/>
      <c r="R446" s="734"/>
      <c r="S446" s="734"/>
      <c r="T446" s="734"/>
      <c r="U446" s="734"/>
      <c r="V446" s="734"/>
      <c r="W446" s="734"/>
      <c r="X446" s="734"/>
      <c r="Y446" s="734"/>
      <c r="Z446" s="734"/>
      <c r="AA446" s="734"/>
      <c r="AB446" s="734"/>
      <c r="AC446" s="734"/>
    </row>
    <row r="447" spans="1:29" x14ac:dyDescent="0.2">
      <c r="A447" s="704">
        <v>2370</v>
      </c>
      <c r="B447" s="704">
        <v>2370</v>
      </c>
      <c r="C447" s="704" t="s">
        <v>578</v>
      </c>
      <c r="D447" s="704" t="s">
        <v>530</v>
      </c>
      <c r="E447" s="704">
        <v>1</v>
      </c>
      <c r="F447" s="704">
        <v>100</v>
      </c>
      <c r="H447">
        <f t="shared" si="76"/>
        <v>2370</v>
      </c>
      <c r="I447" t="str">
        <f t="shared" si="77"/>
        <v>Rest of NSW</v>
      </c>
      <c r="P447" s="734"/>
      <c r="Q447" s="734"/>
      <c r="R447" s="734"/>
      <c r="S447" s="734"/>
      <c r="T447" s="734"/>
      <c r="U447" s="734"/>
      <c r="V447" s="734"/>
      <c r="W447" s="734"/>
      <c r="X447" s="734"/>
      <c r="Y447" s="734"/>
      <c r="Z447" s="734"/>
      <c r="AA447" s="734"/>
      <c r="AB447" s="734"/>
      <c r="AC447" s="734"/>
    </row>
    <row r="448" spans="1:29" x14ac:dyDescent="0.2">
      <c r="A448" s="704">
        <v>2371</v>
      </c>
      <c r="B448" s="704">
        <v>2371</v>
      </c>
      <c r="C448" s="704" t="s">
        <v>578</v>
      </c>
      <c r="D448" s="704" t="s">
        <v>530</v>
      </c>
      <c r="E448" s="704">
        <v>1</v>
      </c>
      <c r="F448" s="704">
        <v>100</v>
      </c>
      <c r="H448">
        <f t="shared" si="76"/>
        <v>2371</v>
      </c>
      <c r="I448" t="str">
        <f t="shared" si="77"/>
        <v>Rest of NSW</v>
      </c>
      <c r="P448" s="734"/>
      <c r="Q448" s="734"/>
      <c r="R448" s="734"/>
      <c r="S448" s="734"/>
      <c r="T448" s="734"/>
      <c r="U448" s="734"/>
      <c r="V448" s="734"/>
      <c r="W448" s="734"/>
      <c r="X448" s="734"/>
      <c r="Y448" s="734"/>
      <c r="Z448" s="734"/>
      <c r="AA448" s="734"/>
      <c r="AB448" s="734"/>
      <c r="AC448" s="734"/>
    </row>
    <row r="449" spans="1:29" x14ac:dyDescent="0.2">
      <c r="A449" s="704">
        <v>2372</v>
      </c>
      <c r="B449" s="704">
        <v>2372</v>
      </c>
      <c r="C449" s="704" t="s">
        <v>578</v>
      </c>
      <c r="D449" s="704" t="s">
        <v>530</v>
      </c>
      <c r="E449" s="704">
        <v>0.99828600000000001</v>
      </c>
      <c r="F449" s="704">
        <v>99.828599999999994</v>
      </c>
      <c r="H449">
        <f t="shared" si="76"/>
        <v>2372</v>
      </c>
      <c r="I449" t="str">
        <f t="shared" si="77"/>
        <v>Rest of NSW</v>
      </c>
      <c r="P449" s="734"/>
      <c r="Q449" s="734"/>
      <c r="R449" s="734"/>
      <c r="S449" s="734"/>
      <c r="T449" s="734"/>
      <c r="U449" s="734"/>
      <c r="V449" s="734"/>
      <c r="W449" s="734"/>
      <c r="X449" s="734"/>
      <c r="Y449" s="734"/>
      <c r="Z449" s="734"/>
      <c r="AA449" s="734"/>
      <c r="AB449" s="734"/>
      <c r="AC449" s="734"/>
    </row>
    <row r="450" spans="1:29" x14ac:dyDescent="0.2">
      <c r="A450" s="704">
        <v>2372</v>
      </c>
      <c r="B450" s="704">
        <v>2372</v>
      </c>
      <c r="C450" s="704" t="s">
        <v>579</v>
      </c>
      <c r="D450" s="704" t="s">
        <v>533</v>
      </c>
      <c r="E450" s="704">
        <v>1.7137999999999999E-3</v>
      </c>
      <c r="F450" s="704">
        <v>0.17138500000000001</v>
      </c>
      <c r="H450">
        <f t="shared" si="76"/>
        <v>2372</v>
      </c>
      <c r="I450" t="str">
        <f t="shared" si="77"/>
        <v>Rest of Qld</v>
      </c>
      <c r="P450" s="734"/>
      <c r="Q450" s="734"/>
      <c r="R450" s="734"/>
      <c r="S450" s="734"/>
      <c r="T450" s="734"/>
      <c r="U450" s="734"/>
      <c r="V450" s="734"/>
      <c r="W450" s="734"/>
      <c r="X450" s="734"/>
      <c r="Y450" s="734"/>
      <c r="Z450" s="734"/>
      <c r="AA450" s="734"/>
      <c r="AB450" s="734"/>
      <c r="AC450" s="734"/>
    </row>
    <row r="451" spans="1:29" x14ac:dyDescent="0.2">
      <c r="A451" s="704">
        <v>2379</v>
      </c>
      <c r="B451" s="704">
        <v>2379</v>
      </c>
      <c r="C451" s="704" t="s">
        <v>578</v>
      </c>
      <c r="D451" s="704" t="s">
        <v>530</v>
      </c>
      <c r="E451" s="704">
        <v>1</v>
      </c>
      <c r="F451" s="704">
        <v>100</v>
      </c>
      <c r="H451">
        <f t="shared" si="76"/>
        <v>2379</v>
      </c>
      <c r="I451" t="str">
        <f t="shared" si="77"/>
        <v>Rest of NSW</v>
      </c>
      <c r="P451" s="734"/>
      <c r="Q451" s="734"/>
      <c r="R451" s="734"/>
      <c r="S451" s="734"/>
      <c r="T451" s="734"/>
      <c r="U451" s="734"/>
      <c r="V451" s="734"/>
      <c r="W451" s="734"/>
      <c r="X451" s="734"/>
      <c r="Y451" s="734"/>
      <c r="Z451" s="734"/>
      <c r="AA451" s="734"/>
      <c r="AB451" s="734"/>
      <c r="AC451" s="734"/>
    </row>
    <row r="452" spans="1:29" x14ac:dyDescent="0.2">
      <c r="A452" s="704">
        <v>2380</v>
      </c>
      <c r="B452" s="704">
        <v>2380</v>
      </c>
      <c r="C452" s="704" t="s">
        <v>578</v>
      </c>
      <c r="D452" s="704" t="s">
        <v>530</v>
      </c>
      <c r="E452" s="704">
        <v>1</v>
      </c>
      <c r="F452" s="704">
        <v>100</v>
      </c>
      <c r="H452">
        <f t="shared" si="76"/>
        <v>2380</v>
      </c>
      <c r="I452" t="str">
        <f t="shared" si="77"/>
        <v>Rest of NSW</v>
      </c>
      <c r="P452" s="734"/>
      <c r="Q452" s="734"/>
      <c r="R452" s="734"/>
      <c r="S452" s="734"/>
      <c r="T452" s="734"/>
      <c r="U452" s="734"/>
      <c r="V452" s="734"/>
      <c r="W452" s="734"/>
      <c r="X452" s="734"/>
      <c r="Y452" s="734"/>
      <c r="Z452" s="734"/>
      <c r="AA452" s="734"/>
      <c r="AB452" s="734"/>
      <c r="AC452" s="734"/>
    </row>
    <row r="453" spans="1:29" x14ac:dyDescent="0.2">
      <c r="A453" s="704">
        <v>2381</v>
      </c>
      <c r="B453" s="704">
        <v>2381</v>
      </c>
      <c r="C453" s="704" t="s">
        <v>578</v>
      </c>
      <c r="D453" s="704" t="s">
        <v>530</v>
      </c>
      <c r="E453" s="704">
        <v>1</v>
      </c>
      <c r="F453" s="704">
        <v>100</v>
      </c>
      <c r="H453">
        <f t="shared" si="76"/>
        <v>2381</v>
      </c>
      <c r="I453" t="str">
        <f t="shared" si="77"/>
        <v>Rest of NSW</v>
      </c>
      <c r="P453" s="734"/>
      <c r="Q453" s="734"/>
      <c r="R453" s="734"/>
      <c r="S453" s="734"/>
      <c r="T453" s="734"/>
      <c r="U453" s="734"/>
      <c r="V453" s="734"/>
      <c r="W453" s="734"/>
      <c r="X453" s="734"/>
      <c r="Y453" s="734"/>
      <c r="Z453" s="734"/>
      <c r="AA453" s="734"/>
      <c r="AB453" s="734"/>
      <c r="AC453" s="734"/>
    </row>
    <row r="454" spans="1:29" x14ac:dyDescent="0.2">
      <c r="A454" s="704">
        <v>2382</v>
      </c>
      <c r="B454" s="704">
        <v>2382</v>
      </c>
      <c r="C454" s="704" t="s">
        <v>578</v>
      </c>
      <c r="D454" s="704" t="s">
        <v>530</v>
      </c>
      <c r="E454" s="704">
        <v>1</v>
      </c>
      <c r="F454" s="704">
        <v>100</v>
      </c>
      <c r="H454">
        <f t="shared" si="76"/>
        <v>2382</v>
      </c>
      <c r="I454" t="str">
        <f t="shared" si="77"/>
        <v>Rest of NSW</v>
      </c>
      <c r="P454" s="734"/>
      <c r="Q454" s="734"/>
      <c r="R454" s="734"/>
      <c r="S454" s="734"/>
      <c r="T454" s="734"/>
      <c r="U454" s="734"/>
      <c r="V454" s="734"/>
      <c r="W454" s="734"/>
      <c r="X454" s="734"/>
      <c r="Y454" s="734"/>
      <c r="Z454" s="734"/>
      <c r="AA454" s="734"/>
      <c r="AB454" s="734"/>
      <c r="AC454" s="734"/>
    </row>
    <row r="455" spans="1:29" x14ac:dyDescent="0.2">
      <c r="A455" s="704">
        <v>2386</v>
      </c>
      <c r="B455" s="704">
        <v>2386</v>
      </c>
      <c r="C455" s="704" t="s">
        <v>578</v>
      </c>
      <c r="D455" s="704" t="s">
        <v>530</v>
      </c>
      <c r="E455" s="704">
        <v>1</v>
      </c>
      <c r="F455" s="704">
        <v>100</v>
      </c>
      <c r="H455">
        <f t="shared" si="76"/>
        <v>2386</v>
      </c>
      <c r="I455" t="str">
        <f t="shared" si="77"/>
        <v>Rest of NSW</v>
      </c>
      <c r="P455" s="734"/>
      <c r="Q455" s="734"/>
      <c r="R455" s="734"/>
      <c r="S455" s="734"/>
      <c r="T455" s="734"/>
      <c r="U455" s="734"/>
      <c r="V455" s="734"/>
      <c r="W455" s="734"/>
      <c r="X455" s="734"/>
      <c r="Y455" s="734"/>
      <c r="Z455" s="734"/>
      <c r="AA455" s="734"/>
      <c r="AB455" s="734"/>
      <c r="AC455" s="734"/>
    </row>
    <row r="456" spans="1:29" x14ac:dyDescent="0.2">
      <c r="A456" s="704">
        <v>2387</v>
      </c>
      <c r="B456" s="704">
        <v>2387</v>
      </c>
      <c r="C456" s="704" t="s">
        <v>578</v>
      </c>
      <c r="D456" s="704" t="s">
        <v>530</v>
      </c>
      <c r="E456" s="704">
        <v>1</v>
      </c>
      <c r="F456" s="704">
        <v>100</v>
      </c>
      <c r="H456">
        <f t="shared" si="76"/>
        <v>2387</v>
      </c>
      <c r="I456" t="str">
        <f t="shared" si="77"/>
        <v>Rest of NSW</v>
      </c>
      <c r="P456" s="734"/>
      <c r="Q456" s="734"/>
      <c r="R456" s="734"/>
      <c r="S456" s="734"/>
      <c r="T456" s="734"/>
      <c r="U456" s="734"/>
      <c r="V456" s="734"/>
      <c r="W456" s="734"/>
      <c r="X456" s="734"/>
      <c r="Y456" s="734"/>
      <c r="Z456" s="734"/>
      <c r="AA456" s="734"/>
      <c r="AB456" s="734"/>
      <c r="AC456" s="734"/>
    </row>
    <row r="457" spans="1:29" x14ac:dyDescent="0.2">
      <c r="A457" s="704">
        <v>2388</v>
      </c>
      <c r="B457" s="704">
        <v>2388</v>
      </c>
      <c r="C457" s="704" t="s">
        <v>578</v>
      </c>
      <c r="D457" s="704" t="s">
        <v>530</v>
      </c>
      <c r="E457" s="704">
        <v>1</v>
      </c>
      <c r="F457" s="704">
        <v>100</v>
      </c>
      <c r="H457">
        <f t="shared" si="76"/>
        <v>2388</v>
      </c>
      <c r="I457" t="str">
        <f t="shared" si="77"/>
        <v>Rest of NSW</v>
      </c>
      <c r="P457" s="734"/>
      <c r="Q457" s="734"/>
      <c r="R457" s="734"/>
      <c r="S457" s="734"/>
      <c r="T457" s="734"/>
      <c r="U457" s="734"/>
      <c r="V457" s="734"/>
      <c r="W457" s="734"/>
      <c r="X457" s="734"/>
      <c r="Y457" s="734"/>
      <c r="Z457" s="734"/>
      <c r="AA457" s="734"/>
      <c r="AB457" s="734"/>
      <c r="AC457" s="734"/>
    </row>
    <row r="458" spans="1:29" x14ac:dyDescent="0.2">
      <c r="A458" s="704">
        <v>2390</v>
      </c>
      <c r="B458" s="704">
        <v>2390</v>
      </c>
      <c r="C458" s="704" t="s">
        <v>578</v>
      </c>
      <c r="D458" s="704" t="s">
        <v>530</v>
      </c>
      <c r="E458" s="704">
        <v>1</v>
      </c>
      <c r="F458" s="704">
        <v>100</v>
      </c>
      <c r="H458">
        <f t="shared" si="76"/>
        <v>2390</v>
      </c>
      <c r="I458" t="str">
        <f t="shared" si="77"/>
        <v>Rest of NSW</v>
      </c>
      <c r="P458" s="734"/>
      <c r="Q458" s="734"/>
      <c r="R458" s="734"/>
      <c r="S458" s="734"/>
      <c r="T458" s="734"/>
      <c r="U458" s="734"/>
      <c r="V458" s="734"/>
      <c r="W458" s="734"/>
      <c r="X458" s="734"/>
      <c r="Y458" s="734"/>
      <c r="Z458" s="734"/>
      <c r="AA458" s="734"/>
      <c r="AB458" s="734"/>
      <c r="AC458" s="734"/>
    </row>
    <row r="459" spans="1:29" x14ac:dyDescent="0.2">
      <c r="A459" s="704">
        <v>2395</v>
      </c>
      <c r="B459" s="704">
        <v>2395</v>
      </c>
      <c r="C459" s="704" t="s">
        <v>578</v>
      </c>
      <c r="D459" s="704" t="s">
        <v>530</v>
      </c>
      <c r="E459" s="704">
        <v>1</v>
      </c>
      <c r="F459" s="704">
        <v>100</v>
      </c>
      <c r="H459">
        <f t="shared" si="76"/>
        <v>2395</v>
      </c>
      <c r="I459" t="str">
        <f t="shared" si="77"/>
        <v>Rest of NSW</v>
      </c>
      <c r="P459" s="734"/>
      <c r="Q459" s="734"/>
      <c r="R459" s="734"/>
      <c r="S459" s="734"/>
      <c r="T459" s="734"/>
      <c r="U459" s="734"/>
      <c r="V459" s="734"/>
      <c r="W459" s="734"/>
      <c r="X459" s="734"/>
      <c r="Y459" s="734"/>
      <c r="Z459" s="734"/>
      <c r="AA459" s="734"/>
      <c r="AB459" s="734"/>
      <c r="AC459" s="734"/>
    </row>
    <row r="460" spans="1:29" x14ac:dyDescent="0.2">
      <c r="A460" s="704">
        <v>2396</v>
      </c>
      <c r="B460" s="704">
        <v>2396</v>
      </c>
      <c r="C460" s="704" t="s">
        <v>578</v>
      </c>
      <c r="D460" s="704" t="s">
        <v>530</v>
      </c>
      <c r="E460" s="704">
        <v>1</v>
      </c>
      <c r="F460" s="704">
        <v>100</v>
      </c>
      <c r="H460">
        <f t="shared" si="76"/>
        <v>2396</v>
      </c>
      <c r="I460" t="str">
        <f t="shared" si="77"/>
        <v>Rest of NSW</v>
      </c>
      <c r="P460" s="734"/>
      <c r="Q460" s="734"/>
      <c r="R460" s="734"/>
      <c r="S460" s="734"/>
      <c r="T460" s="734"/>
      <c r="U460" s="734"/>
      <c r="V460" s="734"/>
      <c r="W460" s="734"/>
      <c r="X460" s="734"/>
      <c r="Y460" s="734"/>
      <c r="Z460" s="734"/>
      <c r="AA460" s="734"/>
      <c r="AB460" s="734"/>
      <c r="AC460" s="734"/>
    </row>
    <row r="461" spans="1:29" x14ac:dyDescent="0.2">
      <c r="A461" s="704">
        <v>2397</v>
      </c>
      <c r="B461" s="704">
        <v>2397</v>
      </c>
      <c r="C461" s="704" t="s">
        <v>578</v>
      </c>
      <c r="D461" s="704" t="s">
        <v>530</v>
      </c>
      <c r="E461" s="704">
        <v>1</v>
      </c>
      <c r="F461" s="704">
        <v>100</v>
      </c>
      <c r="H461">
        <f t="shared" si="76"/>
        <v>2397</v>
      </c>
      <c r="I461" t="str">
        <f t="shared" si="77"/>
        <v>Rest of NSW</v>
      </c>
      <c r="P461" s="734"/>
      <c r="Q461" s="734"/>
      <c r="R461" s="734"/>
      <c r="S461" s="734"/>
      <c r="T461" s="734"/>
      <c r="U461" s="734"/>
      <c r="V461" s="734"/>
      <c r="W461" s="734"/>
      <c r="X461" s="734"/>
      <c r="Y461" s="734"/>
      <c r="Z461" s="734"/>
      <c r="AA461" s="734"/>
      <c r="AB461" s="734"/>
      <c r="AC461" s="734"/>
    </row>
    <row r="462" spans="1:29" x14ac:dyDescent="0.2">
      <c r="A462" s="704">
        <v>2398</v>
      </c>
      <c r="B462" s="704">
        <v>2398</v>
      </c>
      <c r="C462" s="704" t="s">
        <v>578</v>
      </c>
      <c r="D462" s="704" t="s">
        <v>530</v>
      </c>
      <c r="E462" s="704">
        <v>1</v>
      </c>
      <c r="F462" s="704">
        <v>100</v>
      </c>
      <c r="H462">
        <f t="shared" si="76"/>
        <v>2398</v>
      </c>
      <c r="I462" t="str">
        <f t="shared" si="77"/>
        <v>Rest of NSW</v>
      </c>
      <c r="P462" s="734"/>
      <c r="Q462" s="734"/>
      <c r="R462" s="734"/>
      <c r="S462" s="734"/>
      <c r="T462" s="734"/>
      <c r="U462" s="734"/>
      <c r="V462" s="734"/>
      <c r="W462" s="734"/>
      <c r="X462" s="734"/>
      <c r="Y462" s="734"/>
      <c r="Z462" s="734"/>
      <c r="AA462" s="734"/>
      <c r="AB462" s="734"/>
      <c r="AC462" s="734"/>
    </row>
    <row r="463" spans="1:29" x14ac:dyDescent="0.2">
      <c r="A463" s="704">
        <v>2399</v>
      </c>
      <c r="B463" s="704">
        <v>2399</v>
      </c>
      <c r="C463" s="704" t="s">
        <v>578</v>
      </c>
      <c r="D463" s="704" t="s">
        <v>530</v>
      </c>
      <c r="E463" s="704">
        <v>1</v>
      </c>
      <c r="F463" s="704">
        <v>100</v>
      </c>
      <c r="H463">
        <f t="shared" si="76"/>
        <v>2399</v>
      </c>
      <c r="I463" t="str">
        <f t="shared" si="77"/>
        <v>Rest of NSW</v>
      </c>
      <c r="P463" s="734"/>
      <c r="Q463" s="734"/>
      <c r="R463" s="734"/>
      <c r="S463" s="734"/>
      <c r="T463" s="734"/>
      <c r="U463" s="734"/>
      <c r="V463" s="734"/>
      <c r="W463" s="734"/>
      <c r="X463" s="734"/>
      <c r="Y463" s="734"/>
      <c r="Z463" s="734"/>
      <c r="AA463" s="734"/>
      <c r="AB463" s="734"/>
      <c r="AC463" s="734"/>
    </row>
    <row r="464" spans="1:29" x14ac:dyDescent="0.2">
      <c r="A464" s="704">
        <v>2400</v>
      </c>
      <c r="B464" s="704">
        <v>2400</v>
      </c>
      <c r="C464" s="704" t="s">
        <v>578</v>
      </c>
      <c r="D464" s="704" t="s">
        <v>530</v>
      </c>
      <c r="E464" s="704">
        <v>1</v>
      </c>
      <c r="F464" s="704">
        <v>100</v>
      </c>
      <c r="H464">
        <f t="shared" si="76"/>
        <v>2400</v>
      </c>
      <c r="I464" t="str">
        <f t="shared" si="77"/>
        <v>Rest of NSW</v>
      </c>
      <c r="P464" s="734"/>
      <c r="Q464" s="734"/>
      <c r="R464" s="734"/>
      <c r="S464" s="734"/>
      <c r="T464" s="734"/>
      <c r="U464" s="734"/>
      <c r="V464" s="734"/>
      <c r="W464" s="734"/>
      <c r="X464" s="734"/>
      <c r="Y464" s="734"/>
      <c r="Z464" s="734"/>
      <c r="AA464" s="734"/>
      <c r="AB464" s="734"/>
      <c r="AC464" s="734"/>
    </row>
    <row r="465" spans="1:29" x14ac:dyDescent="0.2">
      <c r="A465" s="704">
        <v>2401</v>
      </c>
      <c r="B465" s="704">
        <v>2401</v>
      </c>
      <c r="C465" s="704" t="s">
        <v>578</v>
      </c>
      <c r="D465" s="704" t="s">
        <v>530</v>
      </c>
      <c r="E465" s="704">
        <v>1</v>
      </c>
      <c r="F465" s="704">
        <v>100</v>
      </c>
      <c r="H465">
        <f t="shared" si="76"/>
        <v>2401</v>
      </c>
      <c r="I465" t="str">
        <f t="shared" si="77"/>
        <v>Rest of NSW</v>
      </c>
      <c r="P465" s="734"/>
      <c r="Q465" s="734"/>
      <c r="R465" s="734"/>
      <c r="S465" s="734"/>
      <c r="T465" s="734"/>
      <c r="U465" s="734"/>
      <c r="V465" s="734"/>
      <c r="W465" s="734"/>
      <c r="X465" s="734"/>
      <c r="Y465" s="734"/>
      <c r="Z465" s="734"/>
      <c r="AA465" s="734"/>
      <c r="AB465" s="734"/>
      <c r="AC465" s="734"/>
    </row>
    <row r="466" spans="1:29" x14ac:dyDescent="0.2">
      <c r="A466" s="704">
        <v>2402</v>
      </c>
      <c r="B466" s="704">
        <v>2402</v>
      </c>
      <c r="C466" s="704" t="s">
        <v>578</v>
      </c>
      <c r="D466" s="704" t="s">
        <v>530</v>
      </c>
      <c r="E466" s="704">
        <v>1</v>
      </c>
      <c r="F466" s="704">
        <v>100</v>
      </c>
      <c r="H466">
        <f t="shared" si="76"/>
        <v>2402</v>
      </c>
      <c r="I466" t="str">
        <f t="shared" si="77"/>
        <v>Rest of NSW</v>
      </c>
      <c r="P466" s="734"/>
      <c r="Q466" s="734"/>
      <c r="R466" s="734"/>
      <c r="S466" s="734"/>
      <c r="T466" s="734"/>
      <c r="U466" s="734"/>
      <c r="V466" s="734"/>
      <c r="W466" s="734"/>
      <c r="X466" s="734"/>
      <c r="Y466" s="734"/>
      <c r="Z466" s="734"/>
      <c r="AA466" s="734"/>
      <c r="AB466" s="734"/>
      <c r="AC466" s="734"/>
    </row>
    <row r="467" spans="1:29" x14ac:dyDescent="0.2">
      <c r="A467" s="704">
        <v>2403</v>
      </c>
      <c r="B467" s="704">
        <v>2403</v>
      </c>
      <c r="C467" s="704" t="s">
        <v>578</v>
      </c>
      <c r="D467" s="704" t="s">
        <v>530</v>
      </c>
      <c r="E467" s="704">
        <v>1</v>
      </c>
      <c r="F467" s="704">
        <v>100</v>
      </c>
      <c r="H467">
        <f t="shared" si="76"/>
        <v>2403</v>
      </c>
      <c r="I467" t="str">
        <f t="shared" si="77"/>
        <v>Rest of NSW</v>
      </c>
      <c r="P467" s="734"/>
      <c r="Q467" s="734"/>
      <c r="R467" s="734"/>
      <c r="S467" s="734"/>
      <c r="T467" s="734"/>
      <c r="U467" s="734"/>
      <c r="V467" s="734"/>
      <c r="W467" s="734"/>
      <c r="X467" s="734"/>
      <c r="Y467" s="734"/>
      <c r="Z467" s="734"/>
      <c r="AA467" s="734"/>
      <c r="AB467" s="734"/>
      <c r="AC467" s="734"/>
    </row>
    <row r="468" spans="1:29" x14ac:dyDescent="0.2">
      <c r="A468" s="704">
        <v>2404</v>
      </c>
      <c r="B468" s="704">
        <v>2404</v>
      </c>
      <c r="C468" s="704" t="s">
        <v>578</v>
      </c>
      <c r="D468" s="704" t="s">
        <v>530</v>
      </c>
      <c r="E468" s="704">
        <v>1</v>
      </c>
      <c r="F468" s="704">
        <v>100</v>
      </c>
      <c r="H468">
        <f t="shared" si="76"/>
        <v>2404</v>
      </c>
      <c r="I468" t="str">
        <f t="shared" si="77"/>
        <v>Rest of NSW</v>
      </c>
      <c r="P468" s="734"/>
      <c r="Q468" s="734"/>
      <c r="R468" s="734"/>
      <c r="S468" s="734"/>
      <c r="T468" s="734"/>
      <c r="U468" s="734"/>
      <c r="V468" s="734"/>
      <c r="W468" s="734"/>
      <c r="X468" s="734"/>
      <c r="Y468" s="734"/>
      <c r="Z468" s="734"/>
      <c r="AA468" s="734"/>
      <c r="AB468" s="734"/>
      <c r="AC468" s="734"/>
    </row>
    <row r="469" spans="1:29" x14ac:dyDescent="0.2">
      <c r="A469" s="704">
        <v>2405</v>
      </c>
      <c r="B469" s="704">
        <v>2405</v>
      </c>
      <c r="C469" s="704" t="s">
        <v>578</v>
      </c>
      <c r="D469" s="704" t="s">
        <v>530</v>
      </c>
      <c r="E469" s="704">
        <v>1</v>
      </c>
      <c r="F469" s="704">
        <v>100</v>
      </c>
      <c r="H469">
        <f t="shared" si="76"/>
        <v>2405</v>
      </c>
      <c r="I469" t="str">
        <f t="shared" si="77"/>
        <v>Rest of NSW</v>
      </c>
      <c r="P469" s="734"/>
      <c r="Q469" s="734"/>
      <c r="R469" s="734"/>
      <c r="S469" s="734"/>
      <c r="T469" s="734"/>
      <c r="U469" s="734"/>
      <c r="V469" s="734"/>
      <c r="W469" s="734"/>
      <c r="X469" s="734"/>
      <c r="Y469" s="734"/>
      <c r="Z469" s="734"/>
      <c r="AA469" s="734"/>
      <c r="AB469" s="734"/>
      <c r="AC469" s="734"/>
    </row>
    <row r="470" spans="1:29" x14ac:dyDescent="0.2">
      <c r="A470" s="704">
        <v>2406</v>
      </c>
      <c r="B470" s="704">
        <v>2406</v>
      </c>
      <c r="C470" s="704" t="s">
        <v>578</v>
      </c>
      <c r="D470" s="704" t="s">
        <v>530</v>
      </c>
      <c r="E470" s="704">
        <v>0.84075800000000001</v>
      </c>
      <c r="F470" s="704">
        <v>84.075699999999998</v>
      </c>
      <c r="H470">
        <f t="shared" si="76"/>
        <v>2406</v>
      </c>
      <c r="I470" t="str">
        <f t="shared" si="77"/>
        <v>Rest of NSW</v>
      </c>
      <c r="P470" s="734"/>
      <c r="Q470" s="734"/>
      <c r="R470" s="734"/>
      <c r="S470" s="734"/>
      <c r="T470" s="734"/>
      <c r="U470" s="734"/>
      <c r="V470" s="734"/>
      <c r="W470" s="734"/>
      <c r="X470" s="734"/>
      <c r="Y470" s="734"/>
      <c r="Z470" s="734"/>
      <c r="AA470" s="734"/>
      <c r="AB470" s="734"/>
      <c r="AC470" s="734"/>
    </row>
    <row r="471" spans="1:29" x14ac:dyDescent="0.2">
      <c r="A471" s="704">
        <v>2406</v>
      </c>
      <c r="B471" s="704">
        <v>2406</v>
      </c>
      <c r="C471" s="704" t="s">
        <v>579</v>
      </c>
      <c r="D471" s="704" t="s">
        <v>533</v>
      </c>
      <c r="E471" s="704">
        <v>0.159243</v>
      </c>
      <c r="F471" s="704">
        <v>15.924300000000001</v>
      </c>
      <c r="H471">
        <f t="shared" si="76"/>
        <v>2406</v>
      </c>
      <c r="I471" t="str">
        <f t="shared" si="77"/>
        <v>Rest of Qld</v>
      </c>
      <c r="P471" s="734"/>
      <c r="Q471" s="734"/>
      <c r="R471" s="734"/>
      <c r="S471" s="734"/>
      <c r="T471" s="734"/>
      <c r="U471" s="734"/>
      <c r="V471" s="734"/>
      <c r="W471" s="734"/>
      <c r="X471" s="734"/>
      <c r="Y471" s="734"/>
      <c r="Z471" s="734"/>
      <c r="AA471" s="734"/>
      <c r="AB471" s="734"/>
      <c r="AC471" s="734"/>
    </row>
    <row r="472" spans="1:29" x14ac:dyDescent="0.2">
      <c r="A472" s="704">
        <v>2408</v>
      </c>
      <c r="B472" s="704">
        <v>2408</v>
      </c>
      <c r="C472" s="704" t="s">
        <v>578</v>
      </c>
      <c r="D472" s="704" t="s">
        <v>530</v>
      </c>
      <c r="E472" s="704">
        <v>1</v>
      </c>
      <c r="F472" s="704">
        <v>100</v>
      </c>
      <c r="H472">
        <f t="shared" si="76"/>
        <v>2408</v>
      </c>
      <c r="I472" t="str">
        <f t="shared" si="77"/>
        <v>Rest of NSW</v>
      </c>
      <c r="P472" s="734"/>
      <c r="Q472" s="734"/>
      <c r="R472" s="734"/>
      <c r="S472" s="734"/>
      <c r="T472" s="734"/>
      <c r="U472" s="734"/>
      <c r="V472" s="734"/>
      <c r="W472" s="734"/>
      <c r="X472" s="734"/>
      <c r="Y472" s="734"/>
      <c r="Z472" s="734"/>
      <c r="AA472" s="734"/>
      <c r="AB472" s="734"/>
      <c r="AC472" s="734"/>
    </row>
    <row r="473" spans="1:29" x14ac:dyDescent="0.2">
      <c r="A473" s="704">
        <v>2409</v>
      </c>
      <c r="B473" s="704">
        <v>2409</v>
      </c>
      <c r="C473" s="704" t="s">
        <v>578</v>
      </c>
      <c r="D473" s="704" t="s">
        <v>530</v>
      </c>
      <c r="E473" s="704">
        <v>0.98506700000000003</v>
      </c>
      <c r="F473" s="704">
        <v>98.506699999999995</v>
      </c>
      <c r="H473">
        <f t="shared" si="76"/>
        <v>2409</v>
      </c>
      <c r="I473" t="str">
        <f t="shared" si="77"/>
        <v>Rest of NSW</v>
      </c>
      <c r="P473" s="734"/>
      <c r="Q473" s="734"/>
      <c r="R473" s="734"/>
      <c r="S473" s="734"/>
      <c r="T473" s="734"/>
      <c r="U473" s="734"/>
      <c r="V473" s="734"/>
      <c r="W473" s="734"/>
      <c r="X473" s="734"/>
      <c r="Y473" s="734"/>
      <c r="Z473" s="734"/>
      <c r="AA473" s="734"/>
      <c r="AB473" s="734"/>
      <c r="AC473" s="734"/>
    </row>
    <row r="474" spans="1:29" x14ac:dyDescent="0.2">
      <c r="A474" s="704">
        <v>2409</v>
      </c>
      <c r="B474" s="704">
        <v>2409</v>
      </c>
      <c r="C474" s="704" t="s">
        <v>579</v>
      </c>
      <c r="D474" s="704" t="s">
        <v>533</v>
      </c>
      <c r="E474" s="704">
        <v>1.4933099999999999E-2</v>
      </c>
      <c r="F474" s="704">
        <v>1.4933099999999999</v>
      </c>
      <c r="H474">
        <f t="shared" si="76"/>
        <v>2409</v>
      </c>
      <c r="I474" t="str">
        <f t="shared" si="77"/>
        <v>Rest of Qld</v>
      </c>
      <c r="P474" s="734"/>
      <c r="Q474" s="734"/>
      <c r="R474" s="734"/>
      <c r="S474" s="734"/>
      <c r="T474" s="734"/>
      <c r="U474" s="734"/>
      <c r="V474" s="734"/>
      <c r="W474" s="734"/>
      <c r="X474" s="734"/>
      <c r="Y474" s="734"/>
      <c r="Z474" s="734"/>
      <c r="AA474" s="734"/>
      <c r="AB474" s="734"/>
      <c r="AC474" s="734"/>
    </row>
    <row r="475" spans="1:29" x14ac:dyDescent="0.2">
      <c r="A475" s="704">
        <v>2410</v>
      </c>
      <c r="B475" s="704">
        <v>2410</v>
      </c>
      <c r="C475" s="704" t="s">
        <v>578</v>
      </c>
      <c r="D475" s="704" t="s">
        <v>530</v>
      </c>
      <c r="E475" s="704">
        <v>1</v>
      </c>
      <c r="F475" s="704">
        <v>100</v>
      </c>
      <c r="H475">
        <f t="shared" si="76"/>
        <v>2410</v>
      </c>
      <c r="I475" t="str">
        <f t="shared" si="77"/>
        <v>Rest of NSW</v>
      </c>
      <c r="P475" s="734"/>
      <c r="Q475" s="734"/>
      <c r="R475" s="734"/>
      <c r="S475" s="734"/>
      <c r="T475" s="734"/>
      <c r="U475" s="734"/>
      <c r="V475" s="734"/>
      <c r="W475" s="734"/>
      <c r="X475" s="734"/>
      <c r="Y475" s="734"/>
      <c r="Z475" s="734"/>
      <c r="AA475" s="734"/>
      <c r="AB475" s="734"/>
      <c r="AC475" s="734"/>
    </row>
    <row r="476" spans="1:29" x14ac:dyDescent="0.2">
      <c r="A476" s="704">
        <v>2411</v>
      </c>
      <c r="B476" s="704">
        <v>2411</v>
      </c>
      <c r="C476" s="704" t="s">
        <v>578</v>
      </c>
      <c r="D476" s="704" t="s">
        <v>530</v>
      </c>
      <c r="E476" s="704">
        <v>1</v>
      </c>
      <c r="F476" s="704">
        <v>100</v>
      </c>
      <c r="H476">
        <f t="shared" si="76"/>
        <v>2411</v>
      </c>
      <c r="I476" t="str">
        <f t="shared" si="77"/>
        <v>Rest of NSW</v>
      </c>
      <c r="P476" s="734"/>
      <c r="Q476" s="734"/>
      <c r="R476" s="734"/>
      <c r="S476" s="734"/>
      <c r="T476" s="734"/>
      <c r="U476" s="734"/>
      <c r="V476" s="734"/>
      <c r="W476" s="734"/>
      <c r="X476" s="734"/>
      <c r="Y476" s="734"/>
      <c r="Z476" s="734"/>
      <c r="AA476" s="734"/>
      <c r="AB476" s="734"/>
      <c r="AC476" s="734"/>
    </row>
    <row r="477" spans="1:29" x14ac:dyDescent="0.2">
      <c r="A477" s="704">
        <v>2415</v>
      </c>
      <c r="B477" s="704">
        <v>2415</v>
      </c>
      <c r="C477" s="704" t="s">
        <v>578</v>
      </c>
      <c r="D477" s="704" t="s">
        <v>530</v>
      </c>
      <c r="E477" s="704">
        <v>1</v>
      </c>
      <c r="F477" s="704">
        <v>100</v>
      </c>
      <c r="H477">
        <f t="shared" si="76"/>
        <v>2415</v>
      </c>
      <c r="I477" t="str">
        <f t="shared" si="77"/>
        <v>Rest of NSW</v>
      </c>
      <c r="P477" s="734"/>
      <c r="Q477" s="734"/>
      <c r="R477" s="734"/>
      <c r="S477" s="734"/>
      <c r="T477" s="734"/>
      <c r="U477" s="734"/>
      <c r="V477" s="734"/>
      <c r="W477" s="734"/>
      <c r="X477" s="734"/>
      <c r="Y477" s="734"/>
      <c r="Z477" s="734"/>
      <c r="AA477" s="734"/>
      <c r="AB477" s="734"/>
      <c r="AC477" s="734"/>
    </row>
    <row r="478" spans="1:29" x14ac:dyDescent="0.2">
      <c r="A478" s="704">
        <v>2420</v>
      </c>
      <c r="B478" s="704">
        <v>2420</v>
      </c>
      <c r="C478" s="704" t="s">
        <v>578</v>
      </c>
      <c r="D478" s="704" t="s">
        <v>530</v>
      </c>
      <c r="E478" s="704">
        <v>1</v>
      </c>
      <c r="F478" s="704">
        <v>100</v>
      </c>
      <c r="H478">
        <f t="shared" si="76"/>
        <v>2420</v>
      </c>
      <c r="I478" t="str">
        <f t="shared" si="77"/>
        <v>Rest of NSW</v>
      </c>
      <c r="P478" s="734"/>
      <c r="Q478" s="734"/>
      <c r="R478" s="734"/>
      <c r="S478" s="734"/>
      <c r="T478" s="734"/>
      <c r="U478" s="734"/>
      <c r="V478" s="734"/>
      <c r="W478" s="734"/>
      <c r="X478" s="734"/>
      <c r="Y478" s="734"/>
      <c r="Z478" s="734"/>
      <c r="AA478" s="734"/>
      <c r="AB478" s="734"/>
      <c r="AC478" s="734"/>
    </row>
    <row r="479" spans="1:29" x14ac:dyDescent="0.2">
      <c r="A479" s="704">
        <v>2421</v>
      </c>
      <c r="B479" s="704">
        <v>2421</v>
      </c>
      <c r="C479" s="704" t="s">
        <v>578</v>
      </c>
      <c r="D479" s="704" t="s">
        <v>530</v>
      </c>
      <c r="E479" s="704">
        <v>1</v>
      </c>
      <c r="F479" s="704">
        <v>100</v>
      </c>
      <c r="H479">
        <f t="shared" si="76"/>
        <v>2421</v>
      </c>
      <c r="I479" t="str">
        <f t="shared" si="77"/>
        <v>Rest of NSW</v>
      </c>
      <c r="P479" s="734"/>
      <c r="Q479" s="734"/>
      <c r="R479" s="734"/>
      <c r="S479" s="734"/>
      <c r="T479" s="734"/>
      <c r="U479" s="734"/>
      <c r="V479" s="734"/>
      <c r="W479" s="734"/>
      <c r="X479" s="734"/>
      <c r="Y479" s="734"/>
      <c r="Z479" s="734"/>
      <c r="AA479" s="734"/>
      <c r="AB479" s="734"/>
      <c r="AC479" s="734"/>
    </row>
    <row r="480" spans="1:29" x14ac:dyDescent="0.2">
      <c r="A480" s="704">
        <v>2422</v>
      </c>
      <c r="B480" s="704">
        <v>2422</v>
      </c>
      <c r="C480" s="704" t="s">
        <v>578</v>
      </c>
      <c r="D480" s="704" t="s">
        <v>530</v>
      </c>
      <c r="E480" s="704">
        <v>1</v>
      </c>
      <c r="F480" s="704">
        <v>100</v>
      </c>
      <c r="H480">
        <f t="shared" si="76"/>
        <v>2422</v>
      </c>
      <c r="I480" t="str">
        <f t="shared" si="77"/>
        <v>Rest of NSW</v>
      </c>
      <c r="P480" s="734"/>
      <c r="Q480" s="734"/>
      <c r="R480" s="734"/>
      <c r="S480" s="734"/>
      <c r="T480" s="734"/>
      <c r="U480" s="734"/>
      <c r="V480" s="734"/>
      <c r="W480" s="734"/>
      <c r="X480" s="734"/>
      <c r="Y480" s="734"/>
      <c r="Z480" s="734"/>
      <c r="AA480" s="734"/>
      <c r="AB480" s="734"/>
      <c r="AC480" s="734"/>
    </row>
    <row r="481" spans="1:29" x14ac:dyDescent="0.2">
      <c r="A481" s="704">
        <v>2423</v>
      </c>
      <c r="B481" s="704">
        <v>2423</v>
      </c>
      <c r="C481" s="704" t="s">
        <v>578</v>
      </c>
      <c r="D481" s="704" t="s">
        <v>530</v>
      </c>
      <c r="E481" s="704">
        <v>1</v>
      </c>
      <c r="F481" s="704">
        <v>100</v>
      </c>
      <c r="H481">
        <f t="shared" si="76"/>
        <v>2423</v>
      </c>
      <c r="I481" t="str">
        <f t="shared" si="77"/>
        <v>Rest of NSW</v>
      </c>
      <c r="P481" s="734"/>
      <c r="Q481" s="734"/>
      <c r="R481" s="734"/>
      <c r="S481" s="734"/>
      <c r="T481" s="734"/>
      <c r="U481" s="734"/>
      <c r="V481" s="734"/>
      <c r="W481" s="734"/>
      <c r="X481" s="734"/>
      <c r="Y481" s="734"/>
      <c r="Z481" s="734"/>
      <c r="AA481" s="734"/>
      <c r="AB481" s="734"/>
      <c r="AC481" s="734"/>
    </row>
    <row r="482" spans="1:29" x14ac:dyDescent="0.2">
      <c r="A482" s="704">
        <v>2424</v>
      </c>
      <c r="B482" s="704">
        <v>2424</v>
      </c>
      <c r="C482" s="704" t="s">
        <v>578</v>
      </c>
      <c r="D482" s="704" t="s">
        <v>530</v>
      </c>
      <c r="E482" s="704">
        <v>1</v>
      </c>
      <c r="F482" s="704">
        <v>100</v>
      </c>
      <c r="H482">
        <f t="shared" si="76"/>
        <v>2424</v>
      </c>
      <c r="I482" t="str">
        <f t="shared" si="77"/>
        <v>Rest of NSW</v>
      </c>
      <c r="P482" s="734"/>
      <c r="Q482" s="734"/>
      <c r="R482" s="734"/>
      <c r="S482" s="734"/>
      <c r="T482" s="734"/>
      <c r="U482" s="734"/>
      <c r="V482" s="734"/>
      <c r="W482" s="734"/>
      <c r="X482" s="734"/>
      <c r="Y482" s="734"/>
      <c r="Z482" s="734"/>
      <c r="AA482" s="734"/>
      <c r="AB482" s="734"/>
      <c r="AC482" s="734"/>
    </row>
    <row r="483" spans="1:29" x14ac:dyDescent="0.2">
      <c r="A483" s="704">
        <v>2425</v>
      </c>
      <c r="B483" s="704">
        <v>2425</v>
      </c>
      <c r="C483" s="704" t="s">
        <v>578</v>
      </c>
      <c r="D483" s="704" t="s">
        <v>530</v>
      </c>
      <c r="E483" s="704">
        <v>1</v>
      </c>
      <c r="F483" s="704">
        <v>100</v>
      </c>
      <c r="H483">
        <f t="shared" si="76"/>
        <v>2425</v>
      </c>
      <c r="I483" t="str">
        <f t="shared" si="77"/>
        <v>Rest of NSW</v>
      </c>
      <c r="P483" s="734"/>
      <c r="Q483" s="734"/>
      <c r="R483" s="734"/>
      <c r="S483" s="734"/>
      <c r="T483" s="734"/>
      <c r="U483" s="734"/>
      <c r="V483" s="734"/>
      <c r="W483" s="734"/>
      <c r="X483" s="734"/>
      <c r="Y483" s="734"/>
      <c r="Z483" s="734"/>
      <c r="AA483" s="734"/>
      <c r="AB483" s="734"/>
      <c r="AC483" s="734"/>
    </row>
    <row r="484" spans="1:29" x14ac:dyDescent="0.2">
      <c r="A484" s="704">
        <v>2426</v>
      </c>
      <c r="B484" s="704">
        <v>2426</v>
      </c>
      <c r="C484" s="704" t="s">
        <v>578</v>
      </c>
      <c r="D484" s="704" t="s">
        <v>530</v>
      </c>
      <c r="E484" s="704">
        <v>1</v>
      </c>
      <c r="F484" s="704">
        <v>100</v>
      </c>
      <c r="H484">
        <f t="shared" si="76"/>
        <v>2426</v>
      </c>
      <c r="I484" t="str">
        <f t="shared" si="77"/>
        <v>Rest of NSW</v>
      </c>
      <c r="P484" s="734"/>
      <c r="Q484" s="734"/>
      <c r="R484" s="734"/>
      <c r="S484" s="734"/>
      <c r="T484" s="734"/>
      <c r="U484" s="734"/>
      <c r="V484" s="734"/>
      <c r="W484" s="734"/>
      <c r="X484" s="734"/>
      <c r="Y484" s="734"/>
      <c r="Z484" s="734"/>
      <c r="AA484" s="734"/>
      <c r="AB484" s="734"/>
      <c r="AC484" s="734"/>
    </row>
    <row r="485" spans="1:29" x14ac:dyDescent="0.2">
      <c r="A485" s="704">
        <v>2427</v>
      </c>
      <c r="B485" s="704">
        <v>2427</v>
      </c>
      <c r="C485" s="704" t="s">
        <v>578</v>
      </c>
      <c r="D485" s="704" t="s">
        <v>530</v>
      </c>
      <c r="E485" s="704">
        <v>1</v>
      </c>
      <c r="F485" s="704">
        <v>100</v>
      </c>
      <c r="H485">
        <f t="shared" si="76"/>
        <v>2427</v>
      </c>
      <c r="I485" t="str">
        <f t="shared" si="77"/>
        <v>Rest of NSW</v>
      </c>
      <c r="P485" s="734"/>
      <c r="Q485" s="734"/>
      <c r="R485" s="734"/>
      <c r="S485" s="734"/>
      <c r="T485" s="734"/>
      <c r="U485" s="734"/>
      <c r="V485" s="734"/>
      <c r="W485" s="734"/>
      <c r="X485" s="734"/>
      <c r="Y485" s="734"/>
      <c r="Z485" s="734"/>
      <c r="AA485" s="734"/>
      <c r="AB485" s="734"/>
      <c r="AC485" s="734"/>
    </row>
    <row r="486" spans="1:29" x14ac:dyDescent="0.2">
      <c r="A486" s="704">
        <v>2428</v>
      </c>
      <c r="B486" s="704">
        <v>2428</v>
      </c>
      <c r="C486" s="704" t="s">
        <v>578</v>
      </c>
      <c r="D486" s="704" t="s">
        <v>530</v>
      </c>
      <c r="E486" s="704">
        <v>1</v>
      </c>
      <c r="F486" s="704">
        <v>100</v>
      </c>
      <c r="H486">
        <f t="shared" si="76"/>
        <v>2428</v>
      </c>
      <c r="I486" t="str">
        <f t="shared" si="77"/>
        <v>Rest of NSW</v>
      </c>
      <c r="P486" s="734"/>
      <c r="Q486" s="734"/>
      <c r="R486" s="734"/>
      <c r="S486" s="734"/>
      <c r="T486" s="734"/>
      <c r="U486" s="734"/>
      <c r="V486" s="734"/>
      <c r="W486" s="734"/>
      <c r="X486" s="734"/>
      <c r="Y486" s="734"/>
      <c r="Z486" s="734"/>
      <c r="AA486" s="734"/>
      <c r="AB486" s="734"/>
      <c r="AC486" s="734"/>
    </row>
    <row r="487" spans="1:29" x14ac:dyDescent="0.2">
      <c r="A487" s="704">
        <v>2429</v>
      </c>
      <c r="B487" s="704">
        <v>2429</v>
      </c>
      <c r="C487" s="704" t="s">
        <v>578</v>
      </c>
      <c r="D487" s="704" t="s">
        <v>530</v>
      </c>
      <c r="E487" s="704">
        <v>1</v>
      </c>
      <c r="F487" s="704">
        <v>100</v>
      </c>
      <c r="H487">
        <f t="shared" si="76"/>
        <v>2429</v>
      </c>
      <c r="I487" t="str">
        <f t="shared" si="77"/>
        <v>Rest of NSW</v>
      </c>
      <c r="P487" s="734"/>
      <c r="Q487" s="734"/>
      <c r="R487" s="734"/>
      <c r="S487" s="734"/>
      <c r="T487" s="734"/>
      <c r="U487" s="734"/>
      <c r="V487" s="734"/>
      <c r="W487" s="734"/>
      <c r="X487" s="734"/>
      <c r="Y487" s="734"/>
      <c r="Z487" s="734"/>
      <c r="AA487" s="734"/>
      <c r="AB487" s="734"/>
      <c r="AC487" s="734"/>
    </row>
    <row r="488" spans="1:29" x14ac:dyDescent="0.2">
      <c r="A488" s="704">
        <v>2430</v>
      </c>
      <c r="B488" s="704">
        <v>2430</v>
      </c>
      <c r="C488" s="704" t="s">
        <v>578</v>
      </c>
      <c r="D488" s="704" t="s">
        <v>530</v>
      </c>
      <c r="E488" s="704">
        <v>1</v>
      </c>
      <c r="F488" s="704">
        <v>100</v>
      </c>
      <c r="H488">
        <f t="shared" si="76"/>
        <v>2430</v>
      </c>
      <c r="I488" t="str">
        <f t="shared" si="77"/>
        <v>Rest of NSW</v>
      </c>
      <c r="P488" s="734"/>
      <c r="Q488" s="734"/>
      <c r="R488" s="734"/>
      <c r="S488" s="734"/>
      <c r="T488" s="734"/>
      <c r="U488" s="734"/>
      <c r="V488" s="734"/>
      <c r="W488" s="734"/>
      <c r="X488" s="734"/>
      <c r="Y488" s="734"/>
      <c r="Z488" s="734"/>
      <c r="AA488" s="734"/>
      <c r="AB488" s="734"/>
      <c r="AC488" s="734"/>
    </row>
    <row r="489" spans="1:29" x14ac:dyDescent="0.2">
      <c r="A489" s="704">
        <v>2431</v>
      </c>
      <c r="B489" s="704">
        <v>2431</v>
      </c>
      <c r="C489" s="704" t="s">
        <v>578</v>
      </c>
      <c r="D489" s="704" t="s">
        <v>530</v>
      </c>
      <c r="E489" s="704">
        <v>1</v>
      </c>
      <c r="F489" s="704">
        <v>100</v>
      </c>
      <c r="H489">
        <f t="shared" si="76"/>
        <v>2431</v>
      </c>
      <c r="I489" t="str">
        <f t="shared" si="77"/>
        <v>Rest of NSW</v>
      </c>
      <c r="P489" s="734"/>
      <c r="Q489" s="734"/>
      <c r="R489" s="734"/>
      <c r="S489" s="734"/>
      <c r="T489" s="734"/>
      <c r="U489" s="734"/>
      <c r="V489" s="734"/>
      <c r="W489" s="734"/>
      <c r="X489" s="734"/>
      <c r="Y489" s="734"/>
      <c r="Z489" s="734"/>
      <c r="AA489" s="734"/>
      <c r="AB489" s="734"/>
      <c r="AC489" s="734"/>
    </row>
    <row r="490" spans="1:29" x14ac:dyDescent="0.2">
      <c r="A490" s="704">
        <v>2439</v>
      </c>
      <c r="B490" s="704">
        <v>2439</v>
      </c>
      <c r="C490" s="704" t="s">
        <v>578</v>
      </c>
      <c r="D490" s="704" t="s">
        <v>530</v>
      </c>
      <c r="E490" s="704">
        <v>1</v>
      </c>
      <c r="F490" s="704">
        <v>100</v>
      </c>
      <c r="H490">
        <f t="shared" si="76"/>
        <v>2439</v>
      </c>
      <c r="I490" t="str">
        <f t="shared" si="77"/>
        <v>Rest of NSW</v>
      </c>
      <c r="P490" s="734"/>
      <c r="Q490" s="734"/>
      <c r="R490" s="734"/>
      <c r="S490" s="734"/>
      <c r="T490" s="734"/>
      <c r="U490" s="734"/>
      <c r="V490" s="734"/>
      <c r="W490" s="734"/>
      <c r="X490" s="734"/>
      <c r="Y490" s="734"/>
      <c r="Z490" s="734"/>
      <c r="AA490" s="734"/>
      <c r="AB490" s="734"/>
      <c r="AC490" s="734"/>
    </row>
    <row r="491" spans="1:29" x14ac:dyDescent="0.2">
      <c r="A491" s="704">
        <v>2440</v>
      </c>
      <c r="B491" s="704">
        <v>2440</v>
      </c>
      <c r="C491" s="704" t="s">
        <v>578</v>
      </c>
      <c r="D491" s="704" t="s">
        <v>530</v>
      </c>
      <c r="E491" s="704">
        <v>1</v>
      </c>
      <c r="F491" s="704">
        <v>100</v>
      </c>
      <c r="H491">
        <f t="shared" si="76"/>
        <v>2440</v>
      </c>
      <c r="I491" t="str">
        <f t="shared" si="77"/>
        <v>Rest of NSW</v>
      </c>
      <c r="P491" s="734"/>
      <c r="Q491" s="734"/>
      <c r="R491" s="734"/>
      <c r="S491" s="734"/>
      <c r="T491" s="734"/>
      <c r="U491" s="734"/>
      <c r="V491" s="734"/>
      <c r="W491" s="734"/>
      <c r="X491" s="734"/>
      <c r="Y491" s="734"/>
      <c r="Z491" s="734"/>
      <c r="AA491" s="734"/>
      <c r="AB491" s="734"/>
      <c r="AC491" s="734"/>
    </row>
    <row r="492" spans="1:29" x14ac:dyDescent="0.2">
      <c r="A492" s="704">
        <v>2441</v>
      </c>
      <c r="B492" s="704">
        <v>2441</v>
      </c>
      <c r="C492" s="704" t="s">
        <v>578</v>
      </c>
      <c r="D492" s="704" t="s">
        <v>530</v>
      </c>
      <c r="E492" s="704">
        <v>1</v>
      </c>
      <c r="F492" s="704">
        <v>100</v>
      </c>
      <c r="H492">
        <f t="shared" si="76"/>
        <v>2441</v>
      </c>
      <c r="I492" t="str">
        <f t="shared" si="77"/>
        <v>Rest of NSW</v>
      </c>
      <c r="P492" s="734"/>
      <c r="Q492" s="734"/>
      <c r="R492" s="734"/>
      <c r="S492" s="734"/>
      <c r="T492" s="734"/>
      <c r="U492" s="734"/>
      <c r="V492" s="734"/>
      <c r="W492" s="734"/>
      <c r="X492" s="734"/>
      <c r="Y492" s="734"/>
      <c r="Z492" s="734"/>
      <c r="AA492" s="734"/>
      <c r="AB492" s="734"/>
      <c r="AC492" s="734"/>
    </row>
    <row r="493" spans="1:29" x14ac:dyDescent="0.2">
      <c r="A493" s="704">
        <v>2443</v>
      </c>
      <c r="B493" s="704">
        <v>2443</v>
      </c>
      <c r="C493" s="704" t="s">
        <v>578</v>
      </c>
      <c r="D493" s="704" t="s">
        <v>530</v>
      </c>
      <c r="E493" s="704">
        <v>1</v>
      </c>
      <c r="F493" s="704">
        <v>100</v>
      </c>
      <c r="H493">
        <f t="shared" si="76"/>
        <v>2443</v>
      </c>
      <c r="I493" t="str">
        <f t="shared" si="77"/>
        <v>Rest of NSW</v>
      </c>
      <c r="P493" s="734"/>
      <c r="Q493" s="734"/>
      <c r="R493" s="734"/>
      <c r="S493" s="734"/>
      <c r="T493" s="734"/>
      <c r="U493" s="734"/>
      <c r="V493" s="734"/>
      <c r="W493" s="734"/>
      <c r="X493" s="734"/>
      <c r="Y493" s="734"/>
      <c r="Z493" s="734"/>
      <c r="AA493" s="734"/>
      <c r="AB493" s="734"/>
      <c r="AC493" s="734"/>
    </row>
    <row r="494" spans="1:29" x14ac:dyDescent="0.2">
      <c r="A494" s="704">
        <v>2444</v>
      </c>
      <c r="B494" s="704">
        <v>2444</v>
      </c>
      <c r="C494" s="704" t="s">
        <v>578</v>
      </c>
      <c r="D494" s="704" t="s">
        <v>530</v>
      </c>
      <c r="E494" s="704">
        <v>1</v>
      </c>
      <c r="F494" s="704">
        <v>100</v>
      </c>
      <c r="H494">
        <f t="shared" si="76"/>
        <v>2444</v>
      </c>
      <c r="I494" t="str">
        <f t="shared" si="77"/>
        <v>Rest of NSW</v>
      </c>
      <c r="P494" s="734"/>
      <c r="Q494" s="734"/>
      <c r="R494" s="734"/>
      <c r="S494" s="734"/>
      <c r="T494" s="734"/>
      <c r="U494" s="734"/>
      <c r="V494" s="734"/>
      <c r="W494" s="734"/>
      <c r="X494" s="734"/>
      <c r="Y494" s="734"/>
      <c r="Z494" s="734"/>
      <c r="AA494" s="734"/>
      <c r="AB494" s="734"/>
      <c r="AC494" s="734"/>
    </row>
    <row r="495" spans="1:29" x14ac:dyDescent="0.2">
      <c r="A495" s="704">
        <v>2445</v>
      </c>
      <c r="B495" s="704">
        <v>2445</v>
      </c>
      <c r="C495" s="704" t="s">
        <v>578</v>
      </c>
      <c r="D495" s="704" t="s">
        <v>530</v>
      </c>
      <c r="E495" s="704">
        <v>1</v>
      </c>
      <c r="F495" s="704">
        <v>100</v>
      </c>
      <c r="H495">
        <f t="shared" si="76"/>
        <v>2445</v>
      </c>
      <c r="I495" t="str">
        <f t="shared" si="77"/>
        <v>Rest of NSW</v>
      </c>
      <c r="P495" s="734"/>
      <c r="Q495" s="734"/>
      <c r="R495" s="734"/>
      <c r="S495" s="734"/>
      <c r="T495" s="734"/>
      <c r="U495" s="734"/>
      <c r="V495" s="734"/>
      <c r="W495" s="734"/>
      <c r="X495" s="734"/>
      <c r="Y495" s="734"/>
      <c r="Z495" s="734"/>
      <c r="AA495" s="734"/>
      <c r="AB495" s="734"/>
      <c r="AC495" s="734"/>
    </row>
    <row r="496" spans="1:29" x14ac:dyDescent="0.2">
      <c r="A496" s="704">
        <v>2446</v>
      </c>
      <c r="B496" s="704">
        <v>2446</v>
      </c>
      <c r="C496" s="704" t="s">
        <v>578</v>
      </c>
      <c r="D496" s="704" t="s">
        <v>530</v>
      </c>
      <c r="E496" s="704">
        <v>1</v>
      </c>
      <c r="F496" s="704">
        <v>100</v>
      </c>
      <c r="H496">
        <f t="shared" si="76"/>
        <v>2446</v>
      </c>
      <c r="I496" t="str">
        <f t="shared" si="77"/>
        <v>Rest of NSW</v>
      </c>
      <c r="P496" s="734"/>
      <c r="Q496" s="734"/>
      <c r="R496" s="734"/>
      <c r="S496" s="734"/>
      <c r="T496" s="734"/>
      <c r="U496" s="734"/>
      <c r="V496" s="734"/>
      <c r="W496" s="734"/>
      <c r="X496" s="734"/>
      <c r="Y496" s="734"/>
      <c r="Z496" s="734"/>
      <c r="AA496" s="734"/>
      <c r="AB496" s="734"/>
      <c r="AC496" s="734"/>
    </row>
    <row r="497" spans="1:29" x14ac:dyDescent="0.2">
      <c r="A497" s="704">
        <v>2447</v>
      </c>
      <c r="B497" s="704">
        <v>2447</v>
      </c>
      <c r="C497" s="704" t="s">
        <v>578</v>
      </c>
      <c r="D497" s="704" t="s">
        <v>530</v>
      </c>
      <c r="E497" s="704">
        <v>1</v>
      </c>
      <c r="F497" s="704">
        <v>100</v>
      </c>
      <c r="H497">
        <f t="shared" si="76"/>
        <v>2447</v>
      </c>
      <c r="I497" t="str">
        <f t="shared" si="77"/>
        <v>Rest of NSW</v>
      </c>
      <c r="P497" s="734"/>
      <c r="Q497" s="734"/>
      <c r="R497" s="734"/>
      <c r="S497" s="734"/>
      <c r="T497" s="734"/>
      <c r="U497" s="734"/>
      <c r="V497" s="734"/>
      <c r="W497" s="734"/>
      <c r="X497" s="734"/>
      <c r="Y497" s="734"/>
      <c r="Z497" s="734"/>
      <c r="AA497" s="734"/>
      <c r="AB497" s="734"/>
      <c r="AC497" s="734"/>
    </row>
    <row r="498" spans="1:29" x14ac:dyDescent="0.2">
      <c r="A498" s="704">
        <v>2448</v>
      </c>
      <c r="B498" s="704">
        <v>2448</v>
      </c>
      <c r="C498" s="704" t="s">
        <v>578</v>
      </c>
      <c r="D498" s="704" t="s">
        <v>530</v>
      </c>
      <c r="E498" s="704">
        <v>1</v>
      </c>
      <c r="F498" s="704">
        <v>100</v>
      </c>
      <c r="H498">
        <f t="shared" si="76"/>
        <v>2448</v>
      </c>
      <c r="I498" t="str">
        <f t="shared" si="77"/>
        <v>Rest of NSW</v>
      </c>
      <c r="P498" s="734"/>
      <c r="Q498" s="734"/>
      <c r="R498" s="734"/>
      <c r="S498" s="734"/>
      <c r="T498" s="734"/>
      <c r="U498" s="734"/>
      <c r="V498" s="734"/>
      <c r="W498" s="734"/>
      <c r="X498" s="734"/>
      <c r="Y498" s="734"/>
      <c r="Z498" s="734"/>
      <c r="AA498" s="734"/>
      <c r="AB498" s="734"/>
      <c r="AC498" s="734"/>
    </row>
    <row r="499" spans="1:29" x14ac:dyDescent="0.2">
      <c r="A499" s="704">
        <v>2449</v>
      </c>
      <c r="B499" s="704">
        <v>2449</v>
      </c>
      <c r="C499" s="704" t="s">
        <v>578</v>
      </c>
      <c r="D499" s="704" t="s">
        <v>530</v>
      </c>
      <c r="E499" s="704">
        <v>1</v>
      </c>
      <c r="F499" s="704">
        <v>100</v>
      </c>
      <c r="H499">
        <f t="shared" si="76"/>
        <v>2449</v>
      </c>
      <c r="I499" t="str">
        <f t="shared" si="77"/>
        <v>Rest of NSW</v>
      </c>
      <c r="P499" s="734"/>
      <c r="Q499" s="734"/>
      <c r="R499" s="734"/>
      <c r="S499" s="734"/>
      <c r="T499" s="734"/>
      <c r="U499" s="734"/>
      <c r="V499" s="734"/>
      <c r="W499" s="734"/>
      <c r="X499" s="734"/>
      <c r="Y499" s="734"/>
      <c r="Z499" s="734"/>
      <c r="AA499" s="734"/>
      <c r="AB499" s="734"/>
      <c r="AC499" s="734"/>
    </row>
    <row r="500" spans="1:29" x14ac:dyDescent="0.2">
      <c r="A500" s="704">
        <v>2450</v>
      </c>
      <c r="B500" s="704">
        <v>2450</v>
      </c>
      <c r="C500" s="704" t="s">
        <v>578</v>
      </c>
      <c r="D500" s="704" t="s">
        <v>530</v>
      </c>
      <c r="E500" s="704">
        <v>0.99999099999999996</v>
      </c>
      <c r="F500" s="704">
        <v>99.999099999999999</v>
      </c>
      <c r="H500">
        <f t="shared" si="76"/>
        <v>2450</v>
      </c>
      <c r="I500" t="str">
        <f t="shared" si="77"/>
        <v>Rest of NSW</v>
      </c>
      <c r="P500" s="734"/>
      <c r="Q500" s="734"/>
      <c r="R500" s="734"/>
      <c r="S500" s="734"/>
      <c r="T500" s="734"/>
      <c r="U500" s="734"/>
      <c r="V500" s="734"/>
      <c r="W500" s="734"/>
      <c r="X500" s="734"/>
      <c r="Y500" s="734"/>
      <c r="Z500" s="734"/>
      <c r="AA500" s="734"/>
      <c r="AB500" s="734"/>
      <c r="AC500" s="734"/>
    </row>
    <row r="501" spans="1:29" x14ac:dyDescent="0.2">
      <c r="A501" s="704">
        <v>2452</v>
      </c>
      <c r="B501" s="704">
        <v>2452</v>
      </c>
      <c r="C501" s="704" t="s">
        <v>578</v>
      </c>
      <c r="D501" s="704" t="s">
        <v>530</v>
      </c>
      <c r="E501" s="704">
        <v>0.99963900000000006</v>
      </c>
      <c r="F501" s="704">
        <v>99.963899999999995</v>
      </c>
      <c r="H501">
        <f t="shared" si="76"/>
        <v>2452</v>
      </c>
      <c r="I501" t="str">
        <f t="shared" si="77"/>
        <v>Rest of NSW</v>
      </c>
      <c r="P501" s="734"/>
      <c r="Q501" s="734"/>
      <c r="R501" s="734"/>
      <c r="S501" s="734"/>
      <c r="T501" s="734"/>
      <c r="U501" s="734"/>
      <c r="V501" s="734"/>
      <c r="W501" s="734"/>
      <c r="X501" s="734"/>
      <c r="Y501" s="734"/>
      <c r="Z501" s="734"/>
      <c r="AA501" s="734"/>
      <c r="AB501" s="734"/>
      <c r="AC501" s="734"/>
    </row>
    <row r="502" spans="1:29" x14ac:dyDescent="0.2">
      <c r="A502" s="704">
        <v>2453</v>
      </c>
      <c r="B502" s="704">
        <v>2453</v>
      </c>
      <c r="C502" s="704" t="s">
        <v>578</v>
      </c>
      <c r="D502" s="704" t="s">
        <v>530</v>
      </c>
      <c r="E502" s="704">
        <v>1</v>
      </c>
      <c r="F502" s="704">
        <v>100</v>
      </c>
      <c r="H502">
        <f t="shared" si="76"/>
        <v>2453</v>
      </c>
      <c r="I502" t="str">
        <f t="shared" si="77"/>
        <v>Rest of NSW</v>
      </c>
      <c r="P502" s="734"/>
      <c r="Q502" s="734"/>
      <c r="R502" s="734"/>
      <c r="S502" s="734"/>
      <c r="T502" s="734"/>
      <c r="U502" s="734"/>
      <c r="V502" s="734"/>
      <c r="W502" s="734"/>
      <c r="X502" s="734"/>
      <c r="Y502" s="734"/>
      <c r="Z502" s="734"/>
      <c r="AA502" s="734"/>
      <c r="AB502" s="734"/>
      <c r="AC502" s="734"/>
    </row>
    <row r="503" spans="1:29" x14ac:dyDescent="0.2">
      <c r="A503" s="704">
        <v>2454</v>
      </c>
      <c r="B503" s="704">
        <v>2454</v>
      </c>
      <c r="C503" s="704" t="s">
        <v>578</v>
      </c>
      <c r="D503" s="704" t="s">
        <v>530</v>
      </c>
      <c r="E503" s="704">
        <v>0.99991300000000005</v>
      </c>
      <c r="F503" s="704">
        <v>99.991299999999995</v>
      </c>
      <c r="H503">
        <f t="shared" si="76"/>
        <v>2454</v>
      </c>
      <c r="I503" t="str">
        <f t="shared" si="77"/>
        <v>Rest of NSW</v>
      </c>
      <c r="P503" s="734"/>
      <c r="Q503" s="734"/>
      <c r="R503" s="734"/>
      <c r="S503" s="734"/>
      <c r="T503" s="734"/>
      <c r="U503" s="734"/>
      <c r="V503" s="734"/>
      <c r="W503" s="734"/>
      <c r="X503" s="734"/>
      <c r="Y503" s="734"/>
      <c r="Z503" s="734"/>
      <c r="AA503" s="734"/>
      <c r="AB503" s="734"/>
      <c r="AC503" s="734"/>
    </row>
    <row r="504" spans="1:29" x14ac:dyDescent="0.2">
      <c r="A504" s="704">
        <v>2455</v>
      </c>
      <c r="B504" s="704">
        <v>2455</v>
      </c>
      <c r="C504" s="704" t="s">
        <v>578</v>
      </c>
      <c r="D504" s="704" t="s">
        <v>530</v>
      </c>
      <c r="E504" s="704">
        <v>1</v>
      </c>
      <c r="F504" s="704">
        <v>100</v>
      </c>
      <c r="H504">
        <f t="shared" si="76"/>
        <v>2455</v>
      </c>
      <c r="I504" t="str">
        <f t="shared" si="77"/>
        <v>Rest of NSW</v>
      </c>
      <c r="P504" s="734"/>
      <c r="Q504" s="734"/>
      <c r="R504" s="734"/>
      <c r="S504" s="734"/>
      <c r="T504" s="734"/>
      <c r="U504" s="734"/>
      <c r="V504" s="734"/>
      <c r="W504" s="734"/>
      <c r="X504" s="734"/>
      <c r="Y504" s="734"/>
      <c r="Z504" s="734"/>
      <c r="AA504" s="734"/>
      <c r="AB504" s="734"/>
      <c r="AC504" s="734"/>
    </row>
    <row r="505" spans="1:29" x14ac:dyDescent="0.2">
      <c r="A505" s="704">
        <v>2456</v>
      </c>
      <c r="B505" s="704">
        <v>2456</v>
      </c>
      <c r="C505" s="704" t="s">
        <v>578</v>
      </c>
      <c r="D505" s="704" t="s">
        <v>530</v>
      </c>
      <c r="E505" s="704">
        <v>0.99994099999999997</v>
      </c>
      <c r="F505" s="704">
        <v>99.994100000000003</v>
      </c>
      <c r="H505">
        <f t="shared" ref="H505:H568" si="78">A505*1</f>
        <v>2456</v>
      </c>
      <c r="I505" t="str">
        <f t="shared" ref="I505:I568" si="79">D505</f>
        <v>Rest of NSW</v>
      </c>
      <c r="P505" s="734"/>
      <c r="Q505" s="734"/>
      <c r="R505" s="734"/>
      <c r="S505" s="734"/>
      <c r="T505" s="734"/>
      <c r="U505" s="734"/>
      <c r="V505" s="734"/>
      <c r="W505" s="734"/>
      <c r="X505" s="734"/>
      <c r="Y505" s="734"/>
      <c r="Z505" s="734"/>
      <c r="AA505" s="734"/>
      <c r="AB505" s="734"/>
      <c r="AC505" s="734"/>
    </row>
    <row r="506" spans="1:29" x14ac:dyDescent="0.2">
      <c r="A506" s="704">
        <v>2460</v>
      </c>
      <c r="B506" s="704">
        <v>2460</v>
      </c>
      <c r="C506" s="704" t="s">
        <v>578</v>
      </c>
      <c r="D506" s="704" t="s">
        <v>530</v>
      </c>
      <c r="E506" s="704">
        <v>1</v>
      </c>
      <c r="F506" s="704">
        <v>100</v>
      </c>
      <c r="H506">
        <f t="shared" si="78"/>
        <v>2460</v>
      </c>
      <c r="I506" t="str">
        <f t="shared" si="79"/>
        <v>Rest of NSW</v>
      </c>
      <c r="P506" s="734"/>
      <c r="Q506" s="734"/>
      <c r="R506" s="734"/>
      <c r="S506" s="734"/>
      <c r="T506" s="734"/>
      <c r="U506" s="734"/>
      <c r="V506" s="734"/>
      <c r="W506" s="734"/>
      <c r="X506" s="734"/>
      <c r="Y506" s="734"/>
      <c r="Z506" s="734"/>
      <c r="AA506" s="734"/>
      <c r="AB506" s="734"/>
      <c r="AC506" s="734"/>
    </row>
    <row r="507" spans="1:29" x14ac:dyDescent="0.2">
      <c r="A507" s="704">
        <v>2462</v>
      </c>
      <c r="B507" s="704">
        <v>2462</v>
      </c>
      <c r="C507" s="704" t="s">
        <v>578</v>
      </c>
      <c r="D507" s="704" t="s">
        <v>530</v>
      </c>
      <c r="E507" s="704">
        <v>1</v>
      </c>
      <c r="F507" s="704">
        <v>100</v>
      </c>
      <c r="H507">
        <f t="shared" si="78"/>
        <v>2462</v>
      </c>
      <c r="I507" t="str">
        <f t="shared" si="79"/>
        <v>Rest of NSW</v>
      </c>
      <c r="P507" s="734"/>
      <c r="Q507" s="734"/>
      <c r="R507" s="734"/>
      <c r="S507" s="734"/>
      <c r="T507" s="734"/>
      <c r="U507" s="734"/>
      <c r="V507" s="734"/>
      <c r="W507" s="734"/>
      <c r="X507" s="734"/>
      <c r="Y507" s="734"/>
      <c r="Z507" s="734"/>
      <c r="AA507" s="734"/>
      <c r="AB507" s="734"/>
      <c r="AC507" s="734"/>
    </row>
    <row r="508" spans="1:29" x14ac:dyDescent="0.2">
      <c r="A508" s="704">
        <v>2463</v>
      </c>
      <c r="B508" s="704">
        <v>2463</v>
      </c>
      <c r="C508" s="704" t="s">
        <v>578</v>
      </c>
      <c r="D508" s="704" t="s">
        <v>530</v>
      </c>
      <c r="E508" s="704">
        <v>1</v>
      </c>
      <c r="F508" s="704">
        <v>100</v>
      </c>
      <c r="H508">
        <f t="shared" si="78"/>
        <v>2463</v>
      </c>
      <c r="I508" t="str">
        <f t="shared" si="79"/>
        <v>Rest of NSW</v>
      </c>
      <c r="P508" s="734"/>
      <c r="Q508" s="734"/>
      <c r="R508" s="734"/>
      <c r="S508" s="734"/>
      <c r="T508" s="734"/>
      <c r="U508" s="734"/>
      <c r="V508" s="734"/>
      <c r="W508" s="734"/>
      <c r="X508" s="734"/>
      <c r="Y508" s="734"/>
      <c r="Z508" s="734"/>
      <c r="AA508" s="734"/>
      <c r="AB508" s="734"/>
      <c r="AC508" s="734"/>
    </row>
    <row r="509" spans="1:29" x14ac:dyDescent="0.2">
      <c r="A509" s="704">
        <v>2464</v>
      </c>
      <c r="B509" s="704">
        <v>2464</v>
      </c>
      <c r="C509" s="704" t="s">
        <v>578</v>
      </c>
      <c r="D509" s="704" t="s">
        <v>530</v>
      </c>
      <c r="E509" s="704">
        <v>1</v>
      </c>
      <c r="F509" s="704">
        <v>100</v>
      </c>
      <c r="H509">
        <f t="shared" si="78"/>
        <v>2464</v>
      </c>
      <c r="I509" t="str">
        <f t="shared" si="79"/>
        <v>Rest of NSW</v>
      </c>
      <c r="P509" s="734"/>
      <c r="Q509" s="734"/>
      <c r="R509" s="734"/>
      <c r="S509" s="734"/>
      <c r="T509" s="734"/>
      <c r="U509" s="734"/>
      <c r="V509" s="734"/>
      <c r="W509" s="734"/>
      <c r="X509" s="734"/>
      <c r="Y509" s="734"/>
      <c r="Z509" s="734"/>
      <c r="AA509" s="734"/>
      <c r="AB509" s="734"/>
      <c r="AC509" s="734"/>
    </row>
    <row r="510" spans="1:29" x14ac:dyDescent="0.2">
      <c r="A510" s="704">
        <v>2465</v>
      </c>
      <c r="B510" s="704">
        <v>2465</v>
      </c>
      <c r="C510" s="704" t="s">
        <v>578</v>
      </c>
      <c r="D510" s="704" t="s">
        <v>530</v>
      </c>
      <c r="E510" s="704">
        <v>1</v>
      </c>
      <c r="F510" s="704">
        <v>100</v>
      </c>
      <c r="H510">
        <f t="shared" si="78"/>
        <v>2465</v>
      </c>
      <c r="I510" t="str">
        <f t="shared" si="79"/>
        <v>Rest of NSW</v>
      </c>
      <c r="P510" s="734"/>
      <c r="Q510" s="734"/>
      <c r="R510" s="734"/>
      <c r="S510" s="734"/>
      <c r="T510" s="734"/>
      <c r="U510" s="734"/>
      <c r="V510" s="734"/>
      <c r="W510" s="734"/>
      <c r="X510" s="734"/>
      <c r="Y510" s="734"/>
      <c r="Z510" s="734"/>
      <c r="AA510" s="734"/>
      <c r="AB510" s="734"/>
      <c r="AC510" s="734"/>
    </row>
    <row r="511" spans="1:29" x14ac:dyDescent="0.2">
      <c r="A511" s="704">
        <v>2466</v>
      </c>
      <c r="B511" s="704">
        <v>2466</v>
      </c>
      <c r="C511" s="704" t="s">
        <v>578</v>
      </c>
      <c r="D511" s="704" t="s">
        <v>530</v>
      </c>
      <c r="E511" s="704">
        <v>0.99991799999999997</v>
      </c>
      <c r="F511" s="704">
        <v>99.991799999999998</v>
      </c>
      <c r="H511">
        <f t="shared" si="78"/>
        <v>2466</v>
      </c>
      <c r="I511" t="str">
        <f t="shared" si="79"/>
        <v>Rest of NSW</v>
      </c>
      <c r="P511" s="734"/>
      <c r="Q511" s="734"/>
      <c r="R511" s="734"/>
      <c r="S511" s="734"/>
      <c r="T511" s="734"/>
      <c r="U511" s="734"/>
      <c r="V511" s="734"/>
      <c r="W511" s="734"/>
      <c r="X511" s="734"/>
      <c r="Y511" s="734"/>
      <c r="Z511" s="734"/>
      <c r="AA511" s="734"/>
      <c r="AB511" s="734"/>
      <c r="AC511" s="734"/>
    </row>
    <row r="512" spans="1:29" x14ac:dyDescent="0.2">
      <c r="A512" s="704">
        <v>2469</v>
      </c>
      <c r="B512" s="704">
        <v>2469</v>
      </c>
      <c r="C512" s="704" t="s">
        <v>578</v>
      </c>
      <c r="D512" s="704" t="s">
        <v>530</v>
      </c>
      <c r="E512" s="704">
        <v>1</v>
      </c>
      <c r="F512" s="704">
        <v>100</v>
      </c>
      <c r="H512">
        <f t="shared" si="78"/>
        <v>2469</v>
      </c>
      <c r="I512" t="str">
        <f t="shared" si="79"/>
        <v>Rest of NSW</v>
      </c>
      <c r="P512" s="734"/>
      <c r="Q512" s="734"/>
      <c r="R512" s="734"/>
      <c r="S512" s="734"/>
      <c r="T512" s="734"/>
      <c r="U512" s="734"/>
      <c r="V512" s="734"/>
      <c r="W512" s="734"/>
      <c r="X512" s="734"/>
      <c r="Y512" s="734"/>
      <c r="Z512" s="734"/>
      <c r="AA512" s="734"/>
      <c r="AB512" s="734"/>
      <c r="AC512" s="734"/>
    </row>
    <row r="513" spans="1:29" x14ac:dyDescent="0.2">
      <c r="A513" s="704">
        <v>2470</v>
      </c>
      <c r="B513" s="704">
        <v>2470</v>
      </c>
      <c r="C513" s="704" t="s">
        <v>578</v>
      </c>
      <c r="D513" s="704" t="s">
        <v>530</v>
      </c>
      <c r="E513" s="704">
        <v>1</v>
      </c>
      <c r="F513" s="704">
        <v>100</v>
      </c>
      <c r="H513">
        <f t="shared" si="78"/>
        <v>2470</v>
      </c>
      <c r="I513" t="str">
        <f t="shared" si="79"/>
        <v>Rest of NSW</v>
      </c>
      <c r="P513" s="734"/>
      <c r="Q513" s="734"/>
      <c r="R513" s="734"/>
      <c r="S513" s="734"/>
      <c r="T513" s="734"/>
      <c r="U513" s="734"/>
      <c r="V513" s="734"/>
      <c r="W513" s="734"/>
      <c r="X513" s="734"/>
      <c r="Y513" s="734"/>
      <c r="Z513" s="734"/>
      <c r="AA513" s="734"/>
      <c r="AB513" s="734"/>
      <c r="AC513" s="734"/>
    </row>
    <row r="514" spans="1:29" x14ac:dyDescent="0.2">
      <c r="A514" s="704">
        <v>2471</v>
      </c>
      <c r="B514" s="704">
        <v>2471</v>
      </c>
      <c r="C514" s="704" t="s">
        <v>578</v>
      </c>
      <c r="D514" s="704" t="s">
        <v>530</v>
      </c>
      <c r="E514" s="704">
        <v>1</v>
      </c>
      <c r="F514" s="704">
        <v>100</v>
      </c>
      <c r="H514">
        <f t="shared" si="78"/>
        <v>2471</v>
      </c>
      <c r="I514" t="str">
        <f t="shared" si="79"/>
        <v>Rest of NSW</v>
      </c>
      <c r="P514" s="734"/>
      <c r="Q514" s="734"/>
      <c r="R514" s="734"/>
      <c r="S514" s="734"/>
      <c r="T514" s="734"/>
      <c r="U514" s="734"/>
      <c r="V514" s="734"/>
      <c r="W514" s="734"/>
      <c r="X514" s="734"/>
      <c r="Y514" s="734"/>
      <c r="Z514" s="734"/>
      <c r="AA514" s="734"/>
      <c r="AB514" s="734"/>
      <c r="AC514" s="734"/>
    </row>
    <row r="515" spans="1:29" x14ac:dyDescent="0.2">
      <c r="A515" s="704">
        <v>2472</v>
      </c>
      <c r="B515" s="704">
        <v>2472</v>
      </c>
      <c r="C515" s="704" t="s">
        <v>578</v>
      </c>
      <c r="D515" s="704" t="s">
        <v>530</v>
      </c>
      <c r="E515" s="704">
        <v>1</v>
      </c>
      <c r="F515" s="704">
        <v>100</v>
      </c>
      <c r="H515">
        <f t="shared" si="78"/>
        <v>2472</v>
      </c>
      <c r="I515" t="str">
        <f t="shared" si="79"/>
        <v>Rest of NSW</v>
      </c>
      <c r="P515" s="734"/>
      <c r="Q515" s="734"/>
      <c r="R515" s="734"/>
      <c r="S515" s="734"/>
      <c r="T515" s="734"/>
      <c r="U515" s="734"/>
      <c r="V515" s="734"/>
      <c r="W515" s="734"/>
      <c r="X515" s="734"/>
      <c r="Y515" s="734"/>
      <c r="Z515" s="734"/>
      <c r="AA515" s="734"/>
      <c r="AB515" s="734"/>
      <c r="AC515" s="734"/>
    </row>
    <row r="516" spans="1:29" x14ac:dyDescent="0.2">
      <c r="A516" s="704">
        <v>2473</v>
      </c>
      <c r="B516" s="704">
        <v>2473</v>
      </c>
      <c r="C516" s="704" t="s">
        <v>578</v>
      </c>
      <c r="D516" s="704" t="s">
        <v>530</v>
      </c>
      <c r="E516" s="704">
        <v>1</v>
      </c>
      <c r="F516" s="704">
        <v>100</v>
      </c>
      <c r="H516">
        <f t="shared" si="78"/>
        <v>2473</v>
      </c>
      <c r="I516" t="str">
        <f t="shared" si="79"/>
        <v>Rest of NSW</v>
      </c>
      <c r="P516" s="734"/>
      <c r="Q516" s="734"/>
      <c r="R516" s="734"/>
      <c r="S516" s="734"/>
      <c r="T516" s="734"/>
      <c r="U516" s="734"/>
      <c r="V516" s="734"/>
      <c r="W516" s="734"/>
      <c r="X516" s="734"/>
      <c r="Y516" s="734"/>
      <c r="Z516" s="734"/>
      <c r="AA516" s="734"/>
      <c r="AB516" s="734"/>
      <c r="AC516" s="734"/>
    </row>
    <row r="517" spans="1:29" x14ac:dyDescent="0.2">
      <c r="A517" s="704">
        <v>2474</v>
      </c>
      <c r="B517" s="704">
        <v>2474</v>
      </c>
      <c r="C517" s="704" t="s">
        <v>578</v>
      </c>
      <c r="D517" s="704" t="s">
        <v>530</v>
      </c>
      <c r="E517" s="704">
        <v>1</v>
      </c>
      <c r="F517" s="704">
        <v>100</v>
      </c>
      <c r="H517">
        <f t="shared" si="78"/>
        <v>2474</v>
      </c>
      <c r="I517" t="str">
        <f t="shared" si="79"/>
        <v>Rest of NSW</v>
      </c>
      <c r="P517" s="734"/>
      <c r="Q517" s="734"/>
      <c r="R517" s="734"/>
      <c r="S517" s="734"/>
      <c r="T517" s="734"/>
      <c r="U517" s="734"/>
      <c r="V517" s="734"/>
      <c r="W517" s="734"/>
      <c r="X517" s="734"/>
      <c r="Y517" s="734"/>
      <c r="Z517" s="734"/>
      <c r="AA517" s="734"/>
      <c r="AB517" s="734"/>
      <c r="AC517" s="734"/>
    </row>
    <row r="518" spans="1:29" x14ac:dyDescent="0.2">
      <c r="A518" s="704">
        <v>2475</v>
      </c>
      <c r="B518" s="704">
        <v>2475</v>
      </c>
      <c r="C518" s="704" t="s">
        <v>578</v>
      </c>
      <c r="D518" s="704" t="s">
        <v>530</v>
      </c>
      <c r="E518" s="704">
        <v>1</v>
      </c>
      <c r="F518" s="704">
        <v>100</v>
      </c>
      <c r="H518">
        <f t="shared" si="78"/>
        <v>2475</v>
      </c>
      <c r="I518" t="str">
        <f t="shared" si="79"/>
        <v>Rest of NSW</v>
      </c>
      <c r="P518" s="734"/>
      <c r="Q518" s="734"/>
      <c r="R518" s="734"/>
      <c r="S518" s="734"/>
      <c r="T518" s="734"/>
      <c r="U518" s="734"/>
      <c r="V518" s="734"/>
      <c r="W518" s="734"/>
      <c r="X518" s="734"/>
      <c r="Y518" s="734"/>
      <c r="Z518" s="734"/>
      <c r="AA518" s="734"/>
      <c r="AB518" s="734"/>
      <c r="AC518" s="734"/>
    </row>
    <row r="519" spans="1:29" x14ac:dyDescent="0.2">
      <c r="A519" s="704">
        <v>2476</v>
      </c>
      <c r="B519" s="704">
        <v>2476</v>
      </c>
      <c r="C519" s="704" t="s">
        <v>578</v>
      </c>
      <c r="D519" s="704" t="s">
        <v>530</v>
      </c>
      <c r="E519" s="704">
        <v>1</v>
      </c>
      <c r="F519" s="704">
        <v>100</v>
      </c>
      <c r="H519">
        <f t="shared" si="78"/>
        <v>2476</v>
      </c>
      <c r="I519" t="str">
        <f t="shared" si="79"/>
        <v>Rest of NSW</v>
      </c>
      <c r="P519" s="734"/>
      <c r="Q519" s="734"/>
      <c r="R519" s="734"/>
      <c r="S519" s="734"/>
      <c r="T519" s="734"/>
      <c r="U519" s="734"/>
      <c r="V519" s="734"/>
      <c r="W519" s="734"/>
      <c r="X519" s="734"/>
      <c r="Y519" s="734"/>
      <c r="Z519" s="734"/>
      <c r="AA519" s="734"/>
      <c r="AB519" s="734"/>
      <c r="AC519" s="734"/>
    </row>
    <row r="520" spans="1:29" x14ac:dyDescent="0.2">
      <c r="A520" s="704">
        <v>2477</v>
      </c>
      <c r="B520" s="704">
        <v>2477</v>
      </c>
      <c r="C520" s="704" t="s">
        <v>578</v>
      </c>
      <c r="D520" s="704" t="s">
        <v>530</v>
      </c>
      <c r="E520" s="704">
        <v>1</v>
      </c>
      <c r="F520" s="704">
        <v>100</v>
      </c>
      <c r="H520">
        <f t="shared" si="78"/>
        <v>2477</v>
      </c>
      <c r="I520" t="str">
        <f t="shared" si="79"/>
        <v>Rest of NSW</v>
      </c>
      <c r="P520" s="734"/>
      <c r="Q520" s="734"/>
      <c r="R520" s="734"/>
      <c r="S520" s="734"/>
      <c r="T520" s="734"/>
      <c r="U520" s="734"/>
      <c r="V520" s="734"/>
      <c r="W520" s="734"/>
      <c r="X520" s="734"/>
      <c r="Y520" s="734"/>
      <c r="Z520" s="734"/>
      <c r="AA520" s="734"/>
      <c r="AB520" s="734"/>
      <c r="AC520" s="734"/>
    </row>
    <row r="521" spans="1:29" x14ac:dyDescent="0.2">
      <c r="A521" s="704">
        <v>2478</v>
      </c>
      <c r="B521" s="704">
        <v>2478</v>
      </c>
      <c r="C521" s="704" t="s">
        <v>578</v>
      </c>
      <c r="D521" s="704" t="s">
        <v>530</v>
      </c>
      <c r="E521" s="704">
        <v>0.99060899999999996</v>
      </c>
      <c r="F521" s="704">
        <v>99.060900000000004</v>
      </c>
      <c r="H521">
        <f t="shared" si="78"/>
        <v>2478</v>
      </c>
      <c r="I521" t="str">
        <f t="shared" si="79"/>
        <v>Rest of NSW</v>
      </c>
      <c r="P521" s="734"/>
      <c r="Q521" s="734"/>
      <c r="R521" s="734"/>
      <c r="S521" s="734"/>
      <c r="T521" s="734"/>
      <c r="U521" s="734"/>
      <c r="V521" s="734"/>
      <c r="W521" s="734"/>
      <c r="X521" s="734"/>
      <c r="Y521" s="734"/>
      <c r="Z521" s="734"/>
      <c r="AA521" s="734"/>
      <c r="AB521" s="734"/>
      <c r="AC521" s="734"/>
    </row>
    <row r="522" spans="1:29" x14ac:dyDescent="0.2">
      <c r="A522" s="704">
        <v>2479</v>
      </c>
      <c r="B522" s="704">
        <v>2479</v>
      </c>
      <c r="C522" s="704" t="s">
        <v>578</v>
      </c>
      <c r="D522" s="704" t="s">
        <v>530</v>
      </c>
      <c r="E522" s="704">
        <v>1</v>
      </c>
      <c r="F522" s="704">
        <v>100</v>
      </c>
      <c r="H522">
        <f t="shared" si="78"/>
        <v>2479</v>
      </c>
      <c r="I522" t="str">
        <f t="shared" si="79"/>
        <v>Rest of NSW</v>
      </c>
      <c r="P522" s="734"/>
      <c r="Q522" s="734"/>
      <c r="R522" s="734"/>
      <c r="S522" s="734"/>
      <c r="T522" s="734"/>
      <c r="U522" s="734"/>
      <c r="V522" s="734"/>
      <c r="W522" s="734"/>
      <c r="X522" s="734"/>
      <c r="Y522" s="734"/>
      <c r="Z522" s="734"/>
      <c r="AA522" s="734"/>
      <c r="AB522" s="734"/>
      <c r="AC522" s="734"/>
    </row>
    <row r="523" spans="1:29" x14ac:dyDescent="0.2">
      <c r="A523" s="704">
        <v>2480</v>
      </c>
      <c r="B523" s="704">
        <v>2480</v>
      </c>
      <c r="C523" s="704" t="s">
        <v>578</v>
      </c>
      <c r="D523" s="704" t="s">
        <v>530</v>
      </c>
      <c r="E523" s="704">
        <v>1</v>
      </c>
      <c r="F523" s="704">
        <v>100</v>
      </c>
      <c r="H523">
        <f t="shared" si="78"/>
        <v>2480</v>
      </c>
      <c r="I523" t="str">
        <f t="shared" si="79"/>
        <v>Rest of NSW</v>
      </c>
      <c r="P523" s="734"/>
      <c r="Q523" s="734"/>
      <c r="R523" s="734"/>
      <c r="S523" s="734"/>
      <c r="T523" s="734"/>
      <c r="U523" s="734"/>
      <c r="V523" s="734"/>
      <c r="W523" s="734"/>
      <c r="X523" s="734"/>
      <c r="Y523" s="734"/>
      <c r="Z523" s="734"/>
      <c r="AA523" s="734"/>
      <c r="AB523" s="734"/>
      <c r="AC523" s="734"/>
    </row>
    <row r="524" spans="1:29" x14ac:dyDescent="0.2">
      <c r="A524" s="704">
        <v>2481</v>
      </c>
      <c r="B524" s="704">
        <v>2481</v>
      </c>
      <c r="C524" s="704" t="s">
        <v>578</v>
      </c>
      <c r="D524" s="704" t="s">
        <v>530</v>
      </c>
      <c r="E524" s="704">
        <v>0.99999800000000005</v>
      </c>
      <c r="F524" s="704">
        <v>99.999799999999993</v>
      </c>
      <c r="H524">
        <f t="shared" si="78"/>
        <v>2481</v>
      </c>
      <c r="I524" t="str">
        <f t="shared" si="79"/>
        <v>Rest of NSW</v>
      </c>
      <c r="P524" s="734"/>
      <c r="Q524" s="734"/>
      <c r="R524" s="734"/>
      <c r="S524" s="734"/>
      <c r="T524" s="734"/>
      <c r="U524" s="734"/>
      <c r="V524" s="734"/>
      <c r="W524" s="734"/>
      <c r="X524" s="734"/>
      <c r="Y524" s="734"/>
      <c r="Z524" s="734"/>
      <c r="AA524" s="734"/>
      <c r="AB524" s="734"/>
      <c r="AC524" s="734"/>
    </row>
    <row r="525" spans="1:29" x14ac:dyDescent="0.2">
      <c r="A525" s="704">
        <v>2482</v>
      </c>
      <c r="B525" s="704">
        <v>2482</v>
      </c>
      <c r="C525" s="704" t="s">
        <v>578</v>
      </c>
      <c r="D525" s="704" t="s">
        <v>530</v>
      </c>
      <c r="E525" s="704">
        <v>1</v>
      </c>
      <c r="F525" s="704">
        <v>100</v>
      </c>
      <c r="H525">
        <f t="shared" si="78"/>
        <v>2482</v>
      </c>
      <c r="I525" t="str">
        <f t="shared" si="79"/>
        <v>Rest of NSW</v>
      </c>
      <c r="P525" s="734"/>
      <c r="Q525" s="734"/>
      <c r="R525" s="734"/>
      <c r="S525" s="734"/>
      <c r="T525" s="734"/>
      <c r="U525" s="734"/>
      <c r="V525" s="734"/>
      <c r="W525" s="734"/>
      <c r="X525" s="734"/>
      <c r="Y525" s="734"/>
      <c r="Z525" s="734"/>
      <c r="AA525" s="734"/>
      <c r="AB525" s="734"/>
      <c r="AC525" s="734"/>
    </row>
    <row r="526" spans="1:29" x14ac:dyDescent="0.2">
      <c r="A526" s="704">
        <v>2483</v>
      </c>
      <c r="B526" s="704">
        <v>2483</v>
      </c>
      <c r="C526" s="704" t="s">
        <v>578</v>
      </c>
      <c r="D526" s="704" t="s">
        <v>530</v>
      </c>
      <c r="E526" s="704">
        <v>1</v>
      </c>
      <c r="F526" s="704">
        <v>100</v>
      </c>
      <c r="H526">
        <f t="shared" si="78"/>
        <v>2483</v>
      </c>
      <c r="I526" t="str">
        <f t="shared" si="79"/>
        <v>Rest of NSW</v>
      </c>
      <c r="P526" s="734"/>
      <c r="Q526" s="734"/>
      <c r="R526" s="734"/>
      <c r="S526" s="734"/>
      <c r="T526" s="734"/>
      <c r="U526" s="734"/>
      <c r="V526" s="734"/>
      <c r="W526" s="734"/>
      <c r="X526" s="734"/>
      <c r="Y526" s="734"/>
      <c r="Z526" s="734"/>
      <c r="AA526" s="734"/>
      <c r="AB526" s="734"/>
      <c r="AC526" s="734"/>
    </row>
    <row r="527" spans="1:29" x14ac:dyDescent="0.2">
      <c r="A527" s="704">
        <v>2484</v>
      </c>
      <c r="B527" s="704">
        <v>2484</v>
      </c>
      <c r="C527" s="704" t="s">
        <v>578</v>
      </c>
      <c r="D527" s="704" t="s">
        <v>530</v>
      </c>
      <c r="E527" s="704">
        <v>1</v>
      </c>
      <c r="F527" s="704">
        <v>100</v>
      </c>
      <c r="H527">
        <f t="shared" si="78"/>
        <v>2484</v>
      </c>
      <c r="I527" t="str">
        <f t="shared" si="79"/>
        <v>Rest of NSW</v>
      </c>
      <c r="P527" s="734"/>
      <c r="Q527" s="734"/>
      <c r="R527" s="734"/>
      <c r="S527" s="734"/>
      <c r="T527" s="734"/>
      <c r="U527" s="734"/>
      <c r="V527" s="734"/>
      <c r="W527" s="734"/>
      <c r="X527" s="734"/>
      <c r="Y527" s="734"/>
      <c r="Z527" s="734"/>
      <c r="AA527" s="734"/>
      <c r="AB527" s="734"/>
      <c r="AC527" s="734"/>
    </row>
    <row r="528" spans="1:29" x14ac:dyDescent="0.2">
      <c r="A528" s="704">
        <v>2485</v>
      </c>
      <c r="B528" s="704">
        <v>2485</v>
      </c>
      <c r="C528" s="704" t="s">
        <v>578</v>
      </c>
      <c r="D528" s="704" t="s">
        <v>530</v>
      </c>
      <c r="E528" s="704">
        <v>0.96991899999999998</v>
      </c>
      <c r="F528" s="704">
        <v>96.991799999999998</v>
      </c>
      <c r="H528">
        <f t="shared" si="78"/>
        <v>2485</v>
      </c>
      <c r="I528" t="str">
        <f t="shared" si="79"/>
        <v>Rest of NSW</v>
      </c>
      <c r="P528" s="734"/>
      <c r="Q528" s="734"/>
      <c r="R528" s="734"/>
      <c r="S528" s="734"/>
      <c r="T528" s="734"/>
      <c r="U528" s="734"/>
      <c r="V528" s="734"/>
      <c r="W528" s="734"/>
      <c r="X528" s="734"/>
      <c r="Y528" s="734"/>
      <c r="Z528" s="734"/>
      <c r="AA528" s="734"/>
      <c r="AB528" s="734"/>
      <c r="AC528" s="734"/>
    </row>
    <row r="529" spans="1:29" x14ac:dyDescent="0.2">
      <c r="A529" s="704">
        <v>2485</v>
      </c>
      <c r="B529" s="704">
        <v>2485</v>
      </c>
      <c r="C529" s="704" t="s">
        <v>579</v>
      </c>
      <c r="D529" s="704" t="s">
        <v>533</v>
      </c>
      <c r="E529" s="704">
        <v>1.7627E-2</v>
      </c>
      <c r="F529" s="704">
        <v>1.7626999999999999</v>
      </c>
      <c r="H529">
        <f t="shared" si="78"/>
        <v>2485</v>
      </c>
      <c r="I529" t="str">
        <f t="shared" si="79"/>
        <v>Rest of Qld</v>
      </c>
      <c r="P529" s="734"/>
      <c r="Q529" s="734"/>
      <c r="R529" s="734"/>
      <c r="S529" s="734"/>
      <c r="T529" s="734"/>
      <c r="U529" s="734"/>
      <c r="V529" s="734"/>
      <c r="W529" s="734"/>
      <c r="X529" s="734"/>
      <c r="Y529" s="734"/>
      <c r="Z529" s="734"/>
      <c r="AA529" s="734"/>
      <c r="AB529" s="734"/>
      <c r="AC529" s="734"/>
    </row>
    <row r="530" spans="1:29" x14ac:dyDescent="0.2">
      <c r="A530" s="704">
        <v>2486</v>
      </c>
      <c r="B530" s="704">
        <v>2486</v>
      </c>
      <c r="C530" s="704" t="s">
        <v>578</v>
      </c>
      <c r="D530" s="704" t="s">
        <v>530</v>
      </c>
      <c r="E530" s="704">
        <v>0.99474899999999999</v>
      </c>
      <c r="F530" s="704">
        <v>99.474900000000005</v>
      </c>
      <c r="H530">
        <f t="shared" si="78"/>
        <v>2486</v>
      </c>
      <c r="I530" t="str">
        <f t="shared" si="79"/>
        <v>Rest of NSW</v>
      </c>
      <c r="P530" s="734"/>
      <c r="Q530" s="734"/>
      <c r="R530" s="734"/>
      <c r="S530" s="734"/>
      <c r="T530" s="734"/>
      <c r="U530" s="734"/>
      <c r="V530" s="734"/>
      <c r="W530" s="734"/>
      <c r="X530" s="734"/>
      <c r="Y530" s="734"/>
      <c r="Z530" s="734"/>
      <c r="AA530" s="734"/>
      <c r="AB530" s="734"/>
      <c r="AC530" s="734"/>
    </row>
    <row r="531" spans="1:29" x14ac:dyDescent="0.2">
      <c r="A531" s="704">
        <v>2486</v>
      </c>
      <c r="B531" s="704">
        <v>2486</v>
      </c>
      <c r="C531" s="704" t="s">
        <v>579</v>
      </c>
      <c r="D531" s="704" t="s">
        <v>533</v>
      </c>
      <c r="E531" s="704">
        <v>3.7419999999999999E-4</v>
      </c>
      <c r="F531" s="704">
        <v>3.7417400000000003E-2</v>
      </c>
      <c r="H531">
        <f t="shared" si="78"/>
        <v>2486</v>
      </c>
      <c r="I531" t="str">
        <f t="shared" si="79"/>
        <v>Rest of Qld</v>
      </c>
      <c r="P531" s="734"/>
      <c r="Q531" s="734"/>
      <c r="R531" s="734"/>
      <c r="S531" s="734"/>
      <c r="T531" s="734"/>
      <c r="U531" s="734"/>
      <c r="V531" s="734"/>
      <c r="W531" s="734"/>
      <c r="X531" s="734"/>
      <c r="Y531" s="734"/>
      <c r="Z531" s="734"/>
      <c r="AA531" s="734"/>
      <c r="AB531" s="734"/>
      <c r="AC531" s="734"/>
    </row>
    <row r="532" spans="1:29" x14ac:dyDescent="0.2">
      <c r="A532" s="704">
        <v>2487</v>
      </c>
      <c r="B532" s="704">
        <v>2487</v>
      </c>
      <c r="C532" s="704" t="s">
        <v>578</v>
      </c>
      <c r="D532" s="704" t="s">
        <v>530</v>
      </c>
      <c r="E532" s="704">
        <v>0.99448800000000004</v>
      </c>
      <c r="F532" s="704">
        <v>99.448800000000006</v>
      </c>
      <c r="H532">
        <f t="shared" si="78"/>
        <v>2487</v>
      </c>
      <c r="I532" t="str">
        <f t="shared" si="79"/>
        <v>Rest of NSW</v>
      </c>
      <c r="P532" s="734"/>
      <c r="Q532" s="734"/>
      <c r="R532" s="734"/>
      <c r="S532" s="734"/>
      <c r="T532" s="734"/>
      <c r="U532" s="734"/>
      <c r="V532" s="734"/>
      <c r="W532" s="734"/>
      <c r="X532" s="734"/>
      <c r="Y532" s="734"/>
      <c r="Z532" s="734"/>
      <c r="AA532" s="734"/>
      <c r="AB532" s="734"/>
      <c r="AC532" s="734"/>
    </row>
    <row r="533" spans="1:29" x14ac:dyDescent="0.2">
      <c r="A533" s="704">
        <v>2488</v>
      </c>
      <c r="B533" s="704">
        <v>2488</v>
      </c>
      <c r="C533" s="704" t="s">
        <v>578</v>
      </c>
      <c r="D533" s="704" t="s">
        <v>530</v>
      </c>
      <c r="E533" s="704">
        <v>1</v>
      </c>
      <c r="F533" s="704">
        <v>100</v>
      </c>
      <c r="H533">
        <f t="shared" si="78"/>
        <v>2488</v>
      </c>
      <c r="I533" t="str">
        <f t="shared" si="79"/>
        <v>Rest of NSW</v>
      </c>
      <c r="P533" s="734"/>
      <c r="Q533" s="734"/>
      <c r="R533" s="734"/>
      <c r="S533" s="734"/>
      <c r="T533" s="734"/>
      <c r="U533" s="734"/>
      <c r="V533" s="734"/>
      <c r="W533" s="734"/>
      <c r="X533" s="734"/>
      <c r="Y533" s="734"/>
      <c r="Z533" s="734"/>
      <c r="AA533" s="734"/>
      <c r="AB533" s="734"/>
      <c r="AC533" s="734"/>
    </row>
    <row r="534" spans="1:29" x14ac:dyDescent="0.2">
      <c r="A534" s="704">
        <v>2489</v>
      </c>
      <c r="B534" s="704">
        <v>2489</v>
      </c>
      <c r="C534" s="704" t="s">
        <v>578</v>
      </c>
      <c r="D534" s="704" t="s">
        <v>530</v>
      </c>
      <c r="E534" s="704">
        <v>1</v>
      </c>
      <c r="F534" s="704">
        <v>100</v>
      </c>
      <c r="H534">
        <f t="shared" si="78"/>
        <v>2489</v>
      </c>
      <c r="I534" t="str">
        <f t="shared" si="79"/>
        <v>Rest of NSW</v>
      </c>
      <c r="P534" s="734"/>
      <c r="Q534" s="734"/>
      <c r="R534" s="734"/>
      <c r="S534" s="734"/>
      <c r="T534" s="734"/>
      <c r="U534" s="734"/>
      <c r="V534" s="734"/>
      <c r="W534" s="734"/>
      <c r="X534" s="734"/>
      <c r="Y534" s="734"/>
      <c r="Z534" s="734"/>
      <c r="AA534" s="734"/>
      <c r="AB534" s="734"/>
      <c r="AC534" s="734"/>
    </row>
    <row r="535" spans="1:29" x14ac:dyDescent="0.2">
      <c r="A535" s="704">
        <v>2490</v>
      </c>
      <c r="B535" s="704">
        <v>2490</v>
      </c>
      <c r="C535" s="704" t="s">
        <v>578</v>
      </c>
      <c r="D535" s="704" t="s">
        <v>530</v>
      </c>
      <c r="E535" s="704">
        <v>1</v>
      </c>
      <c r="F535" s="704">
        <v>100</v>
      </c>
      <c r="H535">
        <f t="shared" si="78"/>
        <v>2490</v>
      </c>
      <c r="I535" t="str">
        <f t="shared" si="79"/>
        <v>Rest of NSW</v>
      </c>
      <c r="P535" s="734"/>
      <c r="Q535" s="734"/>
      <c r="R535" s="734"/>
      <c r="S535" s="734"/>
      <c r="T535" s="734"/>
      <c r="U535" s="734"/>
      <c r="V535" s="734"/>
      <c r="W535" s="734"/>
      <c r="X535" s="734"/>
      <c r="Y535" s="734"/>
      <c r="Z535" s="734"/>
      <c r="AA535" s="734"/>
      <c r="AB535" s="734"/>
      <c r="AC535" s="734"/>
    </row>
    <row r="536" spans="1:29" x14ac:dyDescent="0.2">
      <c r="A536" s="704">
        <v>2500</v>
      </c>
      <c r="B536" s="704">
        <v>2500</v>
      </c>
      <c r="C536" s="704" t="s">
        <v>578</v>
      </c>
      <c r="D536" s="704" t="s">
        <v>530</v>
      </c>
      <c r="E536" s="704">
        <v>1</v>
      </c>
      <c r="F536" s="704">
        <v>100</v>
      </c>
      <c r="H536">
        <f t="shared" si="78"/>
        <v>2500</v>
      </c>
      <c r="I536" t="str">
        <f t="shared" si="79"/>
        <v>Rest of NSW</v>
      </c>
      <c r="P536" s="734"/>
      <c r="Q536" s="734"/>
      <c r="R536" s="734"/>
      <c r="S536" s="734"/>
      <c r="T536" s="734"/>
      <c r="U536" s="734"/>
      <c r="V536" s="734"/>
      <c r="W536" s="734"/>
      <c r="X536" s="734"/>
      <c r="Y536" s="734"/>
      <c r="Z536" s="734"/>
      <c r="AA536" s="734"/>
      <c r="AB536" s="734"/>
      <c r="AC536" s="734"/>
    </row>
    <row r="537" spans="1:29" x14ac:dyDescent="0.2">
      <c r="A537" s="704">
        <v>2502</v>
      </c>
      <c r="B537" s="704">
        <v>2502</v>
      </c>
      <c r="C537" s="704" t="s">
        <v>578</v>
      </c>
      <c r="D537" s="704" t="s">
        <v>530</v>
      </c>
      <c r="E537" s="704">
        <v>0.99856500000000004</v>
      </c>
      <c r="F537" s="704">
        <v>99.856499999999997</v>
      </c>
      <c r="H537">
        <f t="shared" si="78"/>
        <v>2502</v>
      </c>
      <c r="I537" t="str">
        <f t="shared" si="79"/>
        <v>Rest of NSW</v>
      </c>
      <c r="P537" s="734"/>
      <c r="Q537" s="734"/>
      <c r="R537" s="734"/>
      <c r="S537" s="734"/>
      <c r="T537" s="734"/>
      <c r="U537" s="734"/>
      <c r="V537" s="734"/>
      <c r="W537" s="734"/>
      <c r="X537" s="734"/>
      <c r="Y537" s="734"/>
      <c r="Z537" s="734"/>
      <c r="AA537" s="734"/>
      <c r="AB537" s="734"/>
      <c r="AC537" s="734"/>
    </row>
    <row r="538" spans="1:29" x14ac:dyDescent="0.2">
      <c r="A538" s="704">
        <v>2505</v>
      </c>
      <c r="B538" s="704">
        <v>2505</v>
      </c>
      <c r="C538" s="704" t="s">
        <v>578</v>
      </c>
      <c r="D538" s="704" t="s">
        <v>530</v>
      </c>
      <c r="E538" s="704">
        <v>0.99988100000000002</v>
      </c>
      <c r="F538" s="704">
        <v>99.988100000000003</v>
      </c>
      <c r="H538">
        <f t="shared" si="78"/>
        <v>2505</v>
      </c>
      <c r="I538" t="str">
        <f t="shared" si="79"/>
        <v>Rest of NSW</v>
      </c>
      <c r="P538" s="734"/>
      <c r="Q538" s="734"/>
      <c r="R538" s="734"/>
      <c r="S538" s="734"/>
      <c r="T538" s="734"/>
      <c r="U538" s="734"/>
      <c r="V538" s="734"/>
      <c r="W538" s="734"/>
      <c r="X538" s="734"/>
      <c r="Y538" s="734"/>
      <c r="Z538" s="734"/>
      <c r="AA538" s="734"/>
      <c r="AB538" s="734"/>
      <c r="AC538" s="734"/>
    </row>
    <row r="539" spans="1:29" x14ac:dyDescent="0.2">
      <c r="A539" s="704">
        <v>2506</v>
      </c>
      <c r="B539" s="704">
        <v>2506</v>
      </c>
      <c r="C539" s="704" t="s">
        <v>578</v>
      </c>
      <c r="D539" s="704" t="s">
        <v>530</v>
      </c>
      <c r="E539" s="704">
        <v>1</v>
      </c>
      <c r="F539" s="704">
        <v>100</v>
      </c>
      <c r="H539">
        <f t="shared" si="78"/>
        <v>2506</v>
      </c>
      <c r="I539" t="str">
        <f t="shared" si="79"/>
        <v>Rest of NSW</v>
      </c>
      <c r="P539" s="734"/>
      <c r="Q539" s="734"/>
      <c r="R539" s="734"/>
      <c r="S539" s="734"/>
      <c r="T539" s="734"/>
      <c r="U539" s="734"/>
      <c r="V539" s="734"/>
      <c r="W539" s="734"/>
      <c r="X539" s="734"/>
      <c r="Y539" s="734"/>
      <c r="Z539" s="734"/>
      <c r="AA539" s="734"/>
      <c r="AB539" s="734"/>
      <c r="AC539" s="734"/>
    </row>
    <row r="540" spans="1:29" x14ac:dyDescent="0.2">
      <c r="A540" s="704">
        <v>2508</v>
      </c>
      <c r="B540" s="704">
        <v>2508</v>
      </c>
      <c r="C540" s="704" t="s">
        <v>578</v>
      </c>
      <c r="D540" s="704" t="s">
        <v>530</v>
      </c>
      <c r="E540" s="704">
        <v>1</v>
      </c>
      <c r="F540" s="704">
        <v>100</v>
      </c>
      <c r="H540">
        <f t="shared" si="78"/>
        <v>2508</v>
      </c>
      <c r="I540" t="str">
        <f t="shared" si="79"/>
        <v>Rest of NSW</v>
      </c>
      <c r="P540" s="734"/>
      <c r="Q540" s="734"/>
      <c r="R540" s="734"/>
      <c r="S540" s="734"/>
      <c r="T540" s="734"/>
      <c r="U540" s="734"/>
      <c r="V540" s="734"/>
      <c r="W540" s="734"/>
      <c r="X540" s="734"/>
      <c r="Y540" s="734"/>
      <c r="Z540" s="734"/>
      <c r="AA540" s="734"/>
      <c r="AB540" s="734"/>
      <c r="AC540" s="734"/>
    </row>
    <row r="541" spans="1:29" x14ac:dyDescent="0.2">
      <c r="A541" s="704">
        <v>2515</v>
      </c>
      <c r="B541" s="704">
        <v>2515</v>
      </c>
      <c r="C541" s="704" t="s">
        <v>578</v>
      </c>
      <c r="D541" s="704" t="s">
        <v>530</v>
      </c>
      <c r="E541" s="704">
        <v>1</v>
      </c>
      <c r="F541" s="704">
        <v>100</v>
      </c>
      <c r="H541">
        <f t="shared" si="78"/>
        <v>2515</v>
      </c>
      <c r="I541" t="str">
        <f t="shared" si="79"/>
        <v>Rest of NSW</v>
      </c>
      <c r="P541" s="734"/>
      <c r="Q541" s="734"/>
      <c r="R541" s="734"/>
      <c r="S541" s="734"/>
      <c r="T541" s="734"/>
      <c r="U541" s="734"/>
      <c r="V541" s="734"/>
      <c r="W541" s="734"/>
      <c r="X541" s="734"/>
      <c r="Y541" s="734"/>
      <c r="Z541" s="734"/>
      <c r="AA541" s="734"/>
      <c r="AB541" s="734"/>
      <c r="AC541" s="734"/>
    </row>
    <row r="542" spans="1:29" x14ac:dyDescent="0.2">
      <c r="A542" s="704">
        <v>2516</v>
      </c>
      <c r="B542" s="704">
        <v>2516</v>
      </c>
      <c r="C542" s="704" t="s">
        <v>578</v>
      </c>
      <c r="D542" s="704" t="s">
        <v>530</v>
      </c>
      <c r="E542" s="704">
        <v>1</v>
      </c>
      <c r="F542" s="704">
        <v>100</v>
      </c>
      <c r="H542">
        <f t="shared" si="78"/>
        <v>2516</v>
      </c>
      <c r="I542" t="str">
        <f t="shared" si="79"/>
        <v>Rest of NSW</v>
      </c>
      <c r="P542" s="734"/>
      <c r="Q542" s="734"/>
      <c r="R542" s="734"/>
      <c r="S542" s="734"/>
      <c r="T542" s="734"/>
      <c r="U542" s="734"/>
      <c r="V542" s="734"/>
      <c r="W542" s="734"/>
      <c r="X542" s="734"/>
      <c r="Y542" s="734"/>
      <c r="Z542" s="734"/>
      <c r="AA542" s="734"/>
      <c r="AB542" s="734"/>
      <c r="AC542" s="734"/>
    </row>
    <row r="543" spans="1:29" x14ac:dyDescent="0.2">
      <c r="A543" s="704">
        <v>2517</v>
      </c>
      <c r="B543" s="704">
        <v>2517</v>
      </c>
      <c r="C543" s="704" t="s">
        <v>578</v>
      </c>
      <c r="D543" s="704" t="s">
        <v>530</v>
      </c>
      <c r="E543" s="704">
        <v>1</v>
      </c>
      <c r="F543" s="704">
        <v>100</v>
      </c>
      <c r="H543">
        <f t="shared" si="78"/>
        <v>2517</v>
      </c>
      <c r="I543" t="str">
        <f t="shared" si="79"/>
        <v>Rest of NSW</v>
      </c>
      <c r="P543" s="734"/>
      <c r="Q543" s="734"/>
      <c r="R543" s="734"/>
      <c r="S543" s="734"/>
      <c r="T543" s="734"/>
      <c r="U543" s="734"/>
      <c r="V543" s="734"/>
      <c r="W543" s="734"/>
      <c r="X543" s="734"/>
      <c r="Y543" s="734"/>
      <c r="Z543" s="734"/>
      <c r="AA543" s="734"/>
      <c r="AB543" s="734"/>
      <c r="AC543" s="734"/>
    </row>
    <row r="544" spans="1:29" x14ac:dyDescent="0.2">
      <c r="A544" s="704">
        <v>2518</v>
      </c>
      <c r="B544" s="704">
        <v>2518</v>
      </c>
      <c r="C544" s="704" t="s">
        <v>578</v>
      </c>
      <c r="D544" s="704" t="s">
        <v>530</v>
      </c>
      <c r="E544" s="704">
        <v>1</v>
      </c>
      <c r="F544" s="704">
        <v>100</v>
      </c>
      <c r="H544">
        <f t="shared" si="78"/>
        <v>2518</v>
      </c>
      <c r="I544" t="str">
        <f t="shared" si="79"/>
        <v>Rest of NSW</v>
      </c>
      <c r="P544" s="734"/>
      <c r="Q544" s="734"/>
      <c r="R544" s="734"/>
      <c r="S544" s="734"/>
      <c r="T544" s="734"/>
      <c r="U544" s="734"/>
      <c r="V544" s="734"/>
      <c r="W544" s="734"/>
      <c r="X544" s="734"/>
      <c r="Y544" s="734"/>
      <c r="Z544" s="734"/>
      <c r="AA544" s="734"/>
      <c r="AB544" s="734"/>
      <c r="AC544" s="734"/>
    </row>
    <row r="545" spans="1:29" x14ac:dyDescent="0.2">
      <c r="A545" s="704">
        <v>2519</v>
      </c>
      <c r="B545" s="704">
        <v>2519</v>
      </c>
      <c r="C545" s="704" t="s">
        <v>578</v>
      </c>
      <c r="D545" s="704" t="s">
        <v>530</v>
      </c>
      <c r="E545" s="704">
        <v>1</v>
      </c>
      <c r="F545" s="704">
        <v>100</v>
      </c>
      <c r="H545">
        <f t="shared" si="78"/>
        <v>2519</v>
      </c>
      <c r="I545" t="str">
        <f t="shared" si="79"/>
        <v>Rest of NSW</v>
      </c>
      <c r="P545" s="734"/>
      <c r="Q545" s="734"/>
      <c r="R545" s="734"/>
      <c r="S545" s="734"/>
      <c r="T545" s="734"/>
      <c r="U545" s="734"/>
      <c r="V545" s="734"/>
      <c r="W545" s="734"/>
      <c r="X545" s="734"/>
      <c r="Y545" s="734"/>
      <c r="Z545" s="734"/>
      <c r="AA545" s="734"/>
      <c r="AB545" s="734"/>
      <c r="AC545" s="734"/>
    </row>
    <row r="546" spans="1:29" x14ac:dyDescent="0.2">
      <c r="A546" s="704">
        <v>2522</v>
      </c>
      <c r="B546" s="704">
        <v>2522</v>
      </c>
      <c r="C546" s="704" t="s">
        <v>578</v>
      </c>
      <c r="D546" s="704" t="s">
        <v>530</v>
      </c>
      <c r="E546" s="704">
        <v>1</v>
      </c>
      <c r="F546" s="704">
        <v>100</v>
      </c>
      <c r="H546">
        <f t="shared" si="78"/>
        <v>2522</v>
      </c>
      <c r="I546" t="str">
        <f t="shared" si="79"/>
        <v>Rest of NSW</v>
      </c>
      <c r="P546" s="734"/>
      <c r="Q546" s="734"/>
      <c r="R546" s="734"/>
      <c r="S546" s="734"/>
      <c r="T546" s="734"/>
      <c r="U546" s="734"/>
      <c r="V546" s="734"/>
      <c r="W546" s="734"/>
      <c r="X546" s="734"/>
      <c r="Y546" s="734"/>
      <c r="Z546" s="734"/>
      <c r="AA546" s="734"/>
      <c r="AB546" s="734"/>
      <c r="AC546" s="734"/>
    </row>
    <row r="547" spans="1:29" x14ac:dyDescent="0.2">
      <c r="A547" s="704">
        <v>2525</v>
      </c>
      <c r="B547" s="704">
        <v>2525</v>
      </c>
      <c r="C547" s="704" t="s">
        <v>578</v>
      </c>
      <c r="D547" s="704" t="s">
        <v>530</v>
      </c>
      <c r="E547" s="704">
        <v>1</v>
      </c>
      <c r="F547" s="704">
        <v>100</v>
      </c>
      <c r="H547">
        <f t="shared" si="78"/>
        <v>2525</v>
      </c>
      <c r="I547" t="str">
        <f t="shared" si="79"/>
        <v>Rest of NSW</v>
      </c>
      <c r="P547" s="734"/>
      <c r="Q547" s="734"/>
      <c r="R547" s="734"/>
      <c r="S547" s="734"/>
      <c r="T547" s="734"/>
      <c r="U547" s="734"/>
      <c r="V547" s="734"/>
      <c r="W547" s="734"/>
      <c r="X547" s="734"/>
      <c r="Y547" s="734"/>
      <c r="Z547" s="734"/>
      <c r="AA547" s="734"/>
      <c r="AB547" s="734"/>
      <c r="AC547" s="734"/>
    </row>
    <row r="548" spans="1:29" x14ac:dyDescent="0.2">
      <c r="A548" s="704">
        <v>2526</v>
      </c>
      <c r="B548" s="704">
        <v>2526</v>
      </c>
      <c r="C548" s="704" t="s">
        <v>578</v>
      </c>
      <c r="D548" s="704" t="s">
        <v>530</v>
      </c>
      <c r="E548" s="704">
        <v>1</v>
      </c>
      <c r="F548" s="704">
        <v>100</v>
      </c>
      <c r="H548">
        <f t="shared" si="78"/>
        <v>2526</v>
      </c>
      <c r="I548" t="str">
        <f t="shared" si="79"/>
        <v>Rest of NSW</v>
      </c>
      <c r="P548" s="734"/>
      <c r="Q548" s="734"/>
      <c r="R548" s="734"/>
      <c r="S548" s="734"/>
      <c r="T548" s="734"/>
      <c r="U548" s="734"/>
      <c r="V548" s="734"/>
      <c r="W548" s="734"/>
      <c r="X548" s="734"/>
      <c r="Y548" s="734"/>
      <c r="Z548" s="734"/>
      <c r="AA548" s="734"/>
      <c r="AB548" s="734"/>
      <c r="AC548" s="734"/>
    </row>
    <row r="549" spans="1:29" x14ac:dyDescent="0.2">
      <c r="A549" s="704">
        <v>2527</v>
      </c>
      <c r="B549" s="704">
        <v>2527</v>
      </c>
      <c r="C549" s="704" t="s">
        <v>578</v>
      </c>
      <c r="D549" s="704" t="s">
        <v>530</v>
      </c>
      <c r="E549" s="704">
        <v>1</v>
      </c>
      <c r="F549" s="704">
        <v>100</v>
      </c>
      <c r="H549">
        <f t="shared" si="78"/>
        <v>2527</v>
      </c>
      <c r="I549" t="str">
        <f t="shared" si="79"/>
        <v>Rest of NSW</v>
      </c>
      <c r="P549" s="734"/>
      <c r="Q549" s="734"/>
      <c r="R549" s="734"/>
      <c r="S549" s="734"/>
      <c r="T549" s="734"/>
      <c r="U549" s="734"/>
      <c r="V549" s="734"/>
      <c r="W549" s="734"/>
      <c r="X549" s="734"/>
      <c r="Y549" s="734"/>
      <c r="Z549" s="734"/>
      <c r="AA549" s="734"/>
      <c r="AB549" s="734"/>
      <c r="AC549" s="734"/>
    </row>
    <row r="550" spans="1:29" x14ac:dyDescent="0.2">
      <c r="A550" s="704">
        <v>2528</v>
      </c>
      <c r="B550" s="704">
        <v>2528</v>
      </c>
      <c r="C550" s="704" t="s">
        <v>578</v>
      </c>
      <c r="D550" s="704" t="s">
        <v>530</v>
      </c>
      <c r="E550" s="704">
        <v>0.99489700000000003</v>
      </c>
      <c r="F550" s="704">
        <v>99.489800000000002</v>
      </c>
      <c r="H550">
        <f t="shared" si="78"/>
        <v>2528</v>
      </c>
      <c r="I550" t="str">
        <f t="shared" si="79"/>
        <v>Rest of NSW</v>
      </c>
      <c r="P550" s="734"/>
      <c r="Q550" s="734"/>
      <c r="R550" s="734"/>
      <c r="S550" s="734"/>
      <c r="T550" s="734"/>
      <c r="U550" s="734"/>
      <c r="V550" s="734"/>
      <c r="W550" s="734"/>
      <c r="X550" s="734"/>
      <c r="Y550" s="734"/>
      <c r="Z550" s="734"/>
      <c r="AA550" s="734"/>
      <c r="AB550" s="734"/>
      <c r="AC550" s="734"/>
    </row>
    <row r="551" spans="1:29" x14ac:dyDescent="0.2">
      <c r="A551" s="704">
        <v>2529</v>
      </c>
      <c r="B551" s="704">
        <v>2529</v>
      </c>
      <c r="C551" s="704" t="s">
        <v>578</v>
      </c>
      <c r="D551" s="704" t="s">
        <v>530</v>
      </c>
      <c r="E551" s="704">
        <v>0.996394</v>
      </c>
      <c r="F551" s="704">
        <v>99.639399999999995</v>
      </c>
      <c r="H551">
        <f t="shared" si="78"/>
        <v>2529</v>
      </c>
      <c r="I551" t="str">
        <f t="shared" si="79"/>
        <v>Rest of NSW</v>
      </c>
      <c r="P551" s="734"/>
      <c r="Q551" s="734"/>
      <c r="R551" s="734"/>
      <c r="S551" s="734"/>
      <c r="T551" s="734"/>
      <c r="U551" s="734"/>
      <c r="V551" s="734"/>
      <c r="W551" s="734"/>
      <c r="X551" s="734"/>
      <c r="Y551" s="734"/>
      <c r="Z551" s="734"/>
      <c r="AA551" s="734"/>
      <c r="AB551" s="734"/>
      <c r="AC551" s="734"/>
    </row>
    <row r="552" spans="1:29" x14ac:dyDescent="0.2">
      <c r="A552" s="704">
        <v>2530</v>
      </c>
      <c r="B552" s="704">
        <v>2530</v>
      </c>
      <c r="C552" s="704" t="s">
        <v>578</v>
      </c>
      <c r="D552" s="704" t="s">
        <v>530</v>
      </c>
      <c r="E552" s="704">
        <v>0.99976699999999996</v>
      </c>
      <c r="F552" s="704">
        <v>99.976699999999994</v>
      </c>
      <c r="H552">
        <f t="shared" si="78"/>
        <v>2530</v>
      </c>
      <c r="I552" t="str">
        <f t="shared" si="79"/>
        <v>Rest of NSW</v>
      </c>
      <c r="P552" s="734"/>
      <c r="Q552" s="734"/>
      <c r="R552" s="734"/>
      <c r="S552" s="734"/>
      <c r="T552" s="734"/>
      <c r="U552" s="734"/>
      <c r="V552" s="734"/>
      <c r="W552" s="734"/>
      <c r="X552" s="734"/>
      <c r="Y552" s="734"/>
      <c r="Z552" s="734"/>
      <c r="AA552" s="734"/>
      <c r="AB552" s="734"/>
      <c r="AC552" s="734"/>
    </row>
    <row r="553" spans="1:29" x14ac:dyDescent="0.2">
      <c r="A553" s="704">
        <v>2533</v>
      </c>
      <c r="B553" s="704">
        <v>2533</v>
      </c>
      <c r="C553" s="704" t="s">
        <v>578</v>
      </c>
      <c r="D553" s="704" t="s">
        <v>530</v>
      </c>
      <c r="E553" s="704">
        <v>0.99940899999999999</v>
      </c>
      <c r="F553" s="704">
        <v>99.940899999999999</v>
      </c>
      <c r="H553">
        <f t="shared" si="78"/>
        <v>2533</v>
      </c>
      <c r="I553" t="str">
        <f t="shared" si="79"/>
        <v>Rest of NSW</v>
      </c>
      <c r="P553" s="734"/>
      <c r="Q553" s="734"/>
      <c r="R553" s="734"/>
      <c r="S553" s="734"/>
      <c r="T553" s="734"/>
      <c r="U553" s="734"/>
      <c r="V553" s="734"/>
      <c r="W553" s="734"/>
      <c r="X553" s="734"/>
      <c r="Y553" s="734"/>
      <c r="Z553" s="734"/>
      <c r="AA553" s="734"/>
      <c r="AB553" s="734"/>
      <c r="AC553" s="734"/>
    </row>
    <row r="554" spans="1:29" x14ac:dyDescent="0.2">
      <c r="A554" s="704">
        <v>2534</v>
      </c>
      <c r="B554" s="704">
        <v>2534</v>
      </c>
      <c r="C554" s="704" t="s">
        <v>578</v>
      </c>
      <c r="D554" s="704" t="s">
        <v>530</v>
      </c>
      <c r="E554" s="704">
        <v>1</v>
      </c>
      <c r="F554" s="704">
        <v>100</v>
      </c>
      <c r="H554">
        <f t="shared" si="78"/>
        <v>2534</v>
      </c>
      <c r="I554" t="str">
        <f t="shared" si="79"/>
        <v>Rest of NSW</v>
      </c>
      <c r="P554" s="734"/>
      <c r="Q554" s="734"/>
      <c r="R554" s="734"/>
      <c r="S554" s="734"/>
      <c r="T554" s="734"/>
      <c r="U554" s="734"/>
      <c r="V554" s="734"/>
      <c r="W554" s="734"/>
      <c r="X554" s="734"/>
      <c r="Y554" s="734"/>
      <c r="Z554" s="734"/>
      <c r="AA554" s="734"/>
      <c r="AB554" s="734"/>
      <c r="AC554" s="734"/>
    </row>
    <row r="555" spans="1:29" x14ac:dyDescent="0.2">
      <c r="A555" s="704">
        <v>2535</v>
      </c>
      <c r="B555" s="704">
        <v>2535</v>
      </c>
      <c r="C555" s="704" t="s">
        <v>578</v>
      </c>
      <c r="D555" s="704" t="s">
        <v>530</v>
      </c>
      <c r="E555" s="704">
        <v>1</v>
      </c>
      <c r="F555" s="704">
        <v>100</v>
      </c>
      <c r="H555">
        <f t="shared" si="78"/>
        <v>2535</v>
      </c>
      <c r="I555" t="str">
        <f t="shared" si="79"/>
        <v>Rest of NSW</v>
      </c>
      <c r="P555" s="734"/>
      <c r="Q555" s="734"/>
      <c r="R555" s="734"/>
      <c r="S555" s="734"/>
      <c r="T555" s="734"/>
      <c r="U555" s="734"/>
      <c r="V555" s="734"/>
      <c r="W555" s="734"/>
      <c r="X555" s="734"/>
      <c r="Y555" s="734"/>
      <c r="Z555" s="734"/>
      <c r="AA555" s="734"/>
      <c r="AB555" s="734"/>
      <c r="AC555" s="734"/>
    </row>
    <row r="556" spans="1:29" x14ac:dyDescent="0.2">
      <c r="A556" s="704">
        <v>2536</v>
      </c>
      <c r="B556" s="704">
        <v>2536</v>
      </c>
      <c r="C556" s="704" t="s">
        <v>578</v>
      </c>
      <c r="D556" s="704" t="s">
        <v>530</v>
      </c>
      <c r="E556" s="704">
        <v>0.99995400000000001</v>
      </c>
      <c r="F556" s="704">
        <v>99.995400000000004</v>
      </c>
      <c r="H556">
        <f t="shared" si="78"/>
        <v>2536</v>
      </c>
      <c r="I556" t="str">
        <f t="shared" si="79"/>
        <v>Rest of NSW</v>
      </c>
      <c r="P556" s="734"/>
      <c r="Q556" s="734"/>
      <c r="R556" s="734"/>
      <c r="S556" s="734"/>
      <c r="T556" s="734"/>
      <c r="U556" s="734"/>
      <c r="V556" s="734"/>
      <c r="W556" s="734"/>
      <c r="X556" s="734"/>
      <c r="Y556" s="734"/>
      <c r="Z556" s="734"/>
      <c r="AA556" s="734"/>
      <c r="AB556" s="734"/>
      <c r="AC556" s="734"/>
    </row>
    <row r="557" spans="1:29" x14ac:dyDescent="0.2">
      <c r="A557" s="704">
        <v>2537</v>
      </c>
      <c r="B557" s="704">
        <v>2537</v>
      </c>
      <c r="C557" s="704" t="s">
        <v>578</v>
      </c>
      <c r="D557" s="704" t="s">
        <v>530</v>
      </c>
      <c r="E557" s="704">
        <v>1</v>
      </c>
      <c r="F557" s="704">
        <v>100</v>
      </c>
      <c r="H557">
        <f t="shared" si="78"/>
        <v>2537</v>
      </c>
      <c r="I557" t="str">
        <f t="shared" si="79"/>
        <v>Rest of NSW</v>
      </c>
      <c r="P557" s="734"/>
      <c r="Q557" s="734"/>
      <c r="R557" s="734"/>
      <c r="S557" s="734"/>
      <c r="T557" s="734"/>
      <c r="U557" s="734"/>
      <c r="V557" s="734"/>
      <c r="W557" s="734"/>
      <c r="X557" s="734"/>
      <c r="Y557" s="734"/>
      <c r="Z557" s="734"/>
      <c r="AA557" s="734"/>
      <c r="AB557" s="734"/>
      <c r="AC557" s="734"/>
    </row>
    <row r="558" spans="1:29" x14ac:dyDescent="0.2">
      <c r="A558" s="704">
        <v>2538</v>
      </c>
      <c r="B558" s="704">
        <v>2538</v>
      </c>
      <c r="C558" s="704" t="s">
        <v>578</v>
      </c>
      <c r="D558" s="704" t="s">
        <v>530</v>
      </c>
      <c r="E558" s="704">
        <v>1</v>
      </c>
      <c r="F558" s="704">
        <v>100</v>
      </c>
      <c r="H558">
        <f t="shared" si="78"/>
        <v>2538</v>
      </c>
      <c r="I558" t="str">
        <f t="shared" si="79"/>
        <v>Rest of NSW</v>
      </c>
      <c r="P558" s="734"/>
      <c r="Q558" s="734"/>
      <c r="R558" s="734"/>
      <c r="S558" s="734"/>
      <c r="T558" s="734"/>
      <c r="U558" s="734"/>
      <c r="V558" s="734"/>
      <c r="W558" s="734"/>
      <c r="X558" s="734"/>
      <c r="Y558" s="734"/>
      <c r="Z558" s="734"/>
      <c r="AA558" s="734"/>
      <c r="AB558" s="734"/>
      <c r="AC558" s="734"/>
    </row>
    <row r="559" spans="1:29" x14ac:dyDescent="0.2">
      <c r="A559" s="704">
        <v>2539</v>
      </c>
      <c r="B559" s="704">
        <v>2539</v>
      </c>
      <c r="C559" s="704" t="s">
        <v>578</v>
      </c>
      <c r="D559" s="704" t="s">
        <v>530</v>
      </c>
      <c r="E559" s="704">
        <v>0.99964799999999998</v>
      </c>
      <c r="F559" s="704">
        <v>99.964799999999997</v>
      </c>
      <c r="H559">
        <f t="shared" si="78"/>
        <v>2539</v>
      </c>
      <c r="I559" t="str">
        <f t="shared" si="79"/>
        <v>Rest of NSW</v>
      </c>
      <c r="P559" s="734"/>
      <c r="Q559" s="734"/>
      <c r="R559" s="734"/>
      <c r="S559" s="734"/>
      <c r="T559" s="734"/>
      <c r="U559" s="734"/>
      <c r="V559" s="734"/>
      <c r="W559" s="734"/>
      <c r="X559" s="734"/>
      <c r="Y559" s="734"/>
      <c r="Z559" s="734"/>
      <c r="AA559" s="734"/>
      <c r="AB559" s="734"/>
      <c r="AC559" s="734"/>
    </row>
    <row r="560" spans="1:29" x14ac:dyDescent="0.2">
      <c r="A560" s="704">
        <v>2540</v>
      </c>
      <c r="B560" s="704">
        <v>2540</v>
      </c>
      <c r="C560" s="704" t="s">
        <v>578</v>
      </c>
      <c r="D560" s="704" t="s">
        <v>530</v>
      </c>
      <c r="E560" s="704">
        <v>0.99099899999999996</v>
      </c>
      <c r="F560" s="704">
        <v>99.099900000000005</v>
      </c>
      <c r="H560">
        <f t="shared" si="78"/>
        <v>2540</v>
      </c>
      <c r="I560" t="str">
        <f t="shared" si="79"/>
        <v>Rest of NSW</v>
      </c>
      <c r="P560" s="734"/>
      <c r="Q560" s="734"/>
      <c r="R560" s="734"/>
      <c r="S560" s="734"/>
      <c r="T560" s="734"/>
      <c r="U560" s="734"/>
      <c r="V560" s="734"/>
      <c r="W560" s="734"/>
      <c r="X560" s="734"/>
      <c r="Y560" s="734"/>
      <c r="Z560" s="734"/>
      <c r="AA560" s="734"/>
      <c r="AB560" s="734"/>
      <c r="AC560" s="734"/>
    </row>
    <row r="561" spans="1:29" x14ac:dyDescent="0.2">
      <c r="A561" s="704">
        <v>2540</v>
      </c>
      <c r="B561" s="704">
        <v>2540</v>
      </c>
      <c r="C561" s="704" t="s">
        <v>580</v>
      </c>
      <c r="D561" s="704" t="s">
        <v>537</v>
      </c>
      <c r="E561" s="704">
        <v>9.0008999999999992E-3</v>
      </c>
      <c r="F561" s="704">
        <v>0.900088</v>
      </c>
      <c r="H561">
        <f t="shared" si="78"/>
        <v>2540</v>
      </c>
      <c r="I561" t="str">
        <f t="shared" si="79"/>
        <v>Other Territories</v>
      </c>
      <c r="P561" s="734"/>
      <c r="Q561" s="734"/>
      <c r="R561" s="734"/>
      <c r="S561" s="734"/>
      <c r="T561" s="734"/>
      <c r="U561" s="734"/>
      <c r="V561" s="734"/>
      <c r="W561" s="734"/>
      <c r="X561" s="734"/>
      <c r="Y561" s="734"/>
      <c r="Z561" s="734"/>
      <c r="AA561" s="734"/>
      <c r="AB561" s="734"/>
      <c r="AC561" s="734"/>
    </row>
    <row r="562" spans="1:29" x14ac:dyDescent="0.2">
      <c r="A562" s="704">
        <v>2541</v>
      </c>
      <c r="B562" s="704">
        <v>2541</v>
      </c>
      <c r="C562" s="704" t="s">
        <v>578</v>
      </c>
      <c r="D562" s="704" t="s">
        <v>530</v>
      </c>
      <c r="E562" s="704">
        <v>1</v>
      </c>
      <c r="F562" s="704">
        <v>100</v>
      </c>
      <c r="H562">
        <f t="shared" si="78"/>
        <v>2541</v>
      </c>
      <c r="I562" t="str">
        <f t="shared" si="79"/>
        <v>Rest of NSW</v>
      </c>
      <c r="P562" s="734"/>
      <c r="Q562" s="734"/>
      <c r="R562" s="734"/>
      <c r="S562" s="734"/>
      <c r="T562" s="734"/>
      <c r="U562" s="734"/>
      <c r="V562" s="734"/>
      <c r="W562" s="734"/>
      <c r="X562" s="734"/>
      <c r="Y562" s="734"/>
      <c r="Z562" s="734"/>
      <c r="AA562" s="734"/>
      <c r="AB562" s="734"/>
      <c r="AC562" s="734"/>
    </row>
    <row r="563" spans="1:29" x14ac:dyDescent="0.2">
      <c r="A563" s="704">
        <v>2545</v>
      </c>
      <c r="B563" s="704">
        <v>2545</v>
      </c>
      <c r="C563" s="704" t="s">
        <v>578</v>
      </c>
      <c r="D563" s="704" t="s">
        <v>530</v>
      </c>
      <c r="E563" s="704">
        <v>0.99999899999999997</v>
      </c>
      <c r="F563" s="704">
        <v>99.999899999999997</v>
      </c>
      <c r="H563">
        <f t="shared" si="78"/>
        <v>2545</v>
      </c>
      <c r="I563" t="str">
        <f t="shared" si="79"/>
        <v>Rest of NSW</v>
      </c>
      <c r="P563" s="734"/>
      <c r="Q563" s="734"/>
      <c r="R563" s="734"/>
      <c r="S563" s="734"/>
      <c r="T563" s="734"/>
      <c r="U563" s="734"/>
      <c r="V563" s="734"/>
      <c r="W563" s="734"/>
      <c r="X563" s="734"/>
      <c r="Y563" s="734"/>
      <c r="Z563" s="734"/>
      <c r="AA563" s="734"/>
      <c r="AB563" s="734"/>
      <c r="AC563" s="734"/>
    </row>
    <row r="564" spans="1:29" x14ac:dyDescent="0.2">
      <c r="A564" s="704">
        <v>2546</v>
      </c>
      <c r="B564" s="704">
        <v>2546</v>
      </c>
      <c r="C564" s="704" t="s">
        <v>578</v>
      </c>
      <c r="D564" s="704" t="s">
        <v>530</v>
      </c>
      <c r="E564" s="704">
        <v>0.99989700000000004</v>
      </c>
      <c r="F564" s="704">
        <v>99.989699999999999</v>
      </c>
      <c r="H564">
        <f t="shared" si="78"/>
        <v>2546</v>
      </c>
      <c r="I564" t="str">
        <f t="shared" si="79"/>
        <v>Rest of NSW</v>
      </c>
      <c r="P564" s="734"/>
      <c r="Q564" s="734"/>
      <c r="R564" s="734"/>
      <c r="S564" s="734"/>
      <c r="T564" s="734"/>
      <c r="U564" s="734"/>
      <c r="V564" s="734"/>
      <c r="W564" s="734"/>
      <c r="X564" s="734"/>
      <c r="Y564" s="734"/>
      <c r="Z564" s="734"/>
      <c r="AA564" s="734"/>
      <c r="AB564" s="734"/>
      <c r="AC564" s="734"/>
    </row>
    <row r="565" spans="1:29" x14ac:dyDescent="0.2">
      <c r="A565" s="704">
        <v>2548</v>
      </c>
      <c r="B565" s="704">
        <v>2548</v>
      </c>
      <c r="C565" s="704" t="s">
        <v>578</v>
      </c>
      <c r="D565" s="704" t="s">
        <v>530</v>
      </c>
      <c r="E565" s="704">
        <v>1</v>
      </c>
      <c r="F565" s="704">
        <v>100</v>
      </c>
      <c r="H565">
        <f t="shared" si="78"/>
        <v>2548</v>
      </c>
      <c r="I565" t="str">
        <f t="shared" si="79"/>
        <v>Rest of NSW</v>
      </c>
      <c r="P565" s="734"/>
      <c r="Q565" s="734"/>
      <c r="R565" s="734"/>
      <c r="S565" s="734"/>
      <c r="T565" s="734"/>
      <c r="U565" s="734"/>
      <c r="V565" s="734"/>
      <c r="W565" s="734"/>
      <c r="X565" s="734"/>
      <c r="Y565" s="734"/>
      <c r="Z565" s="734"/>
      <c r="AA565" s="734"/>
      <c r="AB565" s="734"/>
      <c r="AC565" s="734"/>
    </row>
    <row r="566" spans="1:29" x14ac:dyDescent="0.2">
      <c r="A566" s="704">
        <v>2549</v>
      </c>
      <c r="B566" s="704">
        <v>2549</v>
      </c>
      <c r="C566" s="704" t="s">
        <v>578</v>
      </c>
      <c r="D566" s="704" t="s">
        <v>530</v>
      </c>
      <c r="E566" s="704">
        <v>1</v>
      </c>
      <c r="F566" s="704">
        <v>100</v>
      </c>
      <c r="H566">
        <f t="shared" si="78"/>
        <v>2549</v>
      </c>
      <c r="I566" t="str">
        <f t="shared" si="79"/>
        <v>Rest of NSW</v>
      </c>
      <c r="P566" s="734"/>
      <c r="Q566" s="734"/>
      <c r="R566" s="734"/>
      <c r="S566" s="734"/>
      <c r="T566" s="734"/>
      <c r="U566" s="734"/>
      <c r="V566" s="734"/>
      <c r="W566" s="734"/>
      <c r="X566" s="734"/>
      <c r="Y566" s="734"/>
      <c r="Z566" s="734"/>
      <c r="AA566" s="734"/>
      <c r="AB566" s="734"/>
      <c r="AC566" s="734"/>
    </row>
    <row r="567" spans="1:29" x14ac:dyDescent="0.2">
      <c r="A567" s="704">
        <v>2550</v>
      </c>
      <c r="B567" s="704">
        <v>2550</v>
      </c>
      <c r="C567" s="704" t="s">
        <v>578</v>
      </c>
      <c r="D567" s="704" t="s">
        <v>530</v>
      </c>
      <c r="E567" s="704">
        <v>1</v>
      </c>
      <c r="F567" s="704">
        <v>100</v>
      </c>
      <c r="H567">
        <f t="shared" si="78"/>
        <v>2550</v>
      </c>
      <c r="I567" t="str">
        <f t="shared" si="79"/>
        <v>Rest of NSW</v>
      </c>
      <c r="P567" s="734"/>
      <c r="Q567" s="734"/>
      <c r="R567" s="734"/>
      <c r="S567" s="734"/>
      <c r="T567" s="734"/>
      <c r="U567" s="734"/>
      <c r="V567" s="734"/>
      <c r="W567" s="734"/>
      <c r="X567" s="734"/>
      <c r="Y567" s="734"/>
      <c r="Z567" s="734"/>
      <c r="AA567" s="734"/>
      <c r="AB567" s="734"/>
      <c r="AC567" s="734"/>
    </row>
    <row r="568" spans="1:29" x14ac:dyDescent="0.2">
      <c r="A568" s="704">
        <v>2551</v>
      </c>
      <c r="B568" s="704">
        <v>2551</v>
      </c>
      <c r="C568" s="704" t="s">
        <v>578</v>
      </c>
      <c r="D568" s="704" t="s">
        <v>530</v>
      </c>
      <c r="E568" s="704">
        <v>0.99849100000000002</v>
      </c>
      <c r="F568" s="704">
        <v>99.849100000000007</v>
      </c>
      <c r="H568">
        <f t="shared" si="78"/>
        <v>2551</v>
      </c>
      <c r="I568" t="str">
        <f t="shared" si="79"/>
        <v>Rest of NSW</v>
      </c>
      <c r="P568" s="734"/>
      <c r="Q568" s="734"/>
      <c r="R568" s="734"/>
      <c r="S568" s="734"/>
      <c r="T568" s="734"/>
      <c r="U568" s="734"/>
      <c r="V568" s="734"/>
      <c r="W568" s="734"/>
      <c r="X568" s="734"/>
      <c r="Y568" s="734"/>
      <c r="Z568" s="734"/>
      <c r="AA568" s="734"/>
      <c r="AB568" s="734"/>
      <c r="AC568" s="734"/>
    </row>
    <row r="569" spans="1:29" x14ac:dyDescent="0.2">
      <c r="A569" s="704">
        <v>2555</v>
      </c>
      <c r="B569" s="704">
        <v>2555</v>
      </c>
      <c r="C569" s="704" t="s">
        <v>577</v>
      </c>
      <c r="D569" s="704" t="s">
        <v>526</v>
      </c>
      <c r="E569" s="704">
        <v>1</v>
      </c>
      <c r="F569" s="704">
        <v>100</v>
      </c>
      <c r="H569">
        <f t="shared" ref="H569:H632" si="80">A569*1</f>
        <v>2555</v>
      </c>
      <c r="I569" t="str">
        <f t="shared" ref="I569:I632" si="81">D569</f>
        <v>Greater Sydney</v>
      </c>
      <c r="P569" s="734"/>
      <c r="Q569" s="734"/>
      <c r="R569" s="734"/>
      <c r="S569" s="734"/>
      <c r="T569" s="734"/>
      <c r="U569" s="734"/>
      <c r="V569" s="734"/>
      <c r="W569" s="734"/>
      <c r="X569" s="734"/>
      <c r="Y569" s="734"/>
      <c r="Z569" s="734"/>
      <c r="AA569" s="734"/>
      <c r="AB569" s="734"/>
      <c r="AC569" s="734"/>
    </row>
    <row r="570" spans="1:29" x14ac:dyDescent="0.2">
      <c r="A570" s="704">
        <v>2556</v>
      </c>
      <c r="B570" s="704">
        <v>2556</v>
      </c>
      <c r="C570" s="704" t="s">
        <v>577</v>
      </c>
      <c r="D570" s="704" t="s">
        <v>526</v>
      </c>
      <c r="E570" s="704">
        <v>1</v>
      </c>
      <c r="F570" s="704">
        <v>100</v>
      </c>
      <c r="H570">
        <f t="shared" si="80"/>
        <v>2556</v>
      </c>
      <c r="I570" t="str">
        <f t="shared" si="81"/>
        <v>Greater Sydney</v>
      </c>
      <c r="P570" s="734"/>
      <c r="Q570" s="734"/>
      <c r="R570" s="734"/>
      <c r="S570" s="734"/>
      <c r="T570" s="734"/>
      <c r="U570" s="734"/>
      <c r="V570" s="734"/>
      <c r="W570" s="734"/>
      <c r="X570" s="734"/>
      <c r="Y570" s="734"/>
      <c r="Z570" s="734"/>
      <c r="AA570" s="734"/>
      <c r="AB570" s="734"/>
      <c r="AC570" s="734"/>
    </row>
    <row r="571" spans="1:29" x14ac:dyDescent="0.2">
      <c r="A571" s="704">
        <v>2557</v>
      </c>
      <c r="B571" s="704">
        <v>2557</v>
      </c>
      <c r="C571" s="704" t="s">
        <v>577</v>
      </c>
      <c r="D571" s="704" t="s">
        <v>526</v>
      </c>
      <c r="E571" s="704">
        <v>1</v>
      </c>
      <c r="F571" s="704">
        <v>100</v>
      </c>
      <c r="H571">
        <f t="shared" si="80"/>
        <v>2557</v>
      </c>
      <c r="I571" t="str">
        <f t="shared" si="81"/>
        <v>Greater Sydney</v>
      </c>
      <c r="P571" s="734"/>
      <c r="Q571" s="734"/>
      <c r="R571" s="734"/>
      <c r="S571" s="734"/>
      <c r="T571" s="734"/>
      <c r="U571" s="734"/>
      <c r="V571" s="734"/>
      <c r="W571" s="734"/>
      <c r="X571" s="734"/>
      <c r="Y571" s="734"/>
      <c r="Z571" s="734"/>
      <c r="AA571" s="734"/>
      <c r="AB571" s="734"/>
      <c r="AC571" s="734"/>
    </row>
    <row r="572" spans="1:29" x14ac:dyDescent="0.2">
      <c r="A572" s="704">
        <v>2558</v>
      </c>
      <c r="B572" s="704">
        <v>2558</v>
      </c>
      <c r="C572" s="704" t="s">
        <v>577</v>
      </c>
      <c r="D572" s="704" t="s">
        <v>526</v>
      </c>
      <c r="E572" s="704">
        <v>1</v>
      </c>
      <c r="F572" s="704">
        <v>100</v>
      </c>
      <c r="H572">
        <f t="shared" si="80"/>
        <v>2558</v>
      </c>
      <c r="I572" t="str">
        <f t="shared" si="81"/>
        <v>Greater Sydney</v>
      </c>
    </row>
    <row r="573" spans="1:29" x14ac:dyDescent="0.2">
      <c r="A573" s="704">
        <v>2559</v>
      </c>
      <c r="B573" s="704">
        <v>2559</v>
      </c>
      <c r="C573" s="704" t="s">
        <v>577</v>
      </c>
      <c r="D573" s="704" t="s">
        <v>526</v>
      </c>
      <c r="E573" s="704">
        <v>1</v>
      </c>
      <c r="F573" s="704">
        <v>100</v>
      </c>
      <c r="H573">
        <f t="shared" si="80"/>
        <v>2559</v>
      </c>
      <c r="I573" t="str">
        <f t="shared" si="81"/>
        <v>Greater Sydney</v>
      </c>
    </row>
    <row r="574" spans="1:29" x14ac:dyDescent="0.2">
      <c r="A574" s="704">
        <v>2560</v>
      </c>
      <c r="B574" s="704">
        <v>2560</v>
      </c>
      <c r="C574" s="704" t="s">
        <v>577</v>
      </c>
      <c r="D574" s="704" t="s">
        <v>526</v>
      </c>
      <c r="E574" s="704">
        <v>0.999861</v>
      </c>
      <c r="F574" s="704">
        <v>99.986099999999993</v>
      </c>
      <c r="H574">
        <f t="shared" si="80"/>
        <v>2560</v>
      </c>
      <c r="I574" t="str">
        <f t="shared" si="81"/>
        <v>Greater Sydney</v>
      </c>
    </row>
    <row r="575" spans="1:29" x14ac:dyDescent="0.2">
      <c r="A575" s="704">
        <v>2560</v>
      </c>
      <c r="B575" s="704">
        <v>2560</v>
      </c>
      <c r="C575" s="704" t="s">
        <v>578</v>
      </c>
      <c r="D575" s="704" t="s">
        <v>530</v>
      </c>
      <c r="E575" s="704">
        <v>1.3889999999999999E-4</v>
      </c>
      <c r="F575" s="704">
        <v>1.3886300000000001E-2</v>
      </c>
      <c r="H575">
        <f t="shared" si="80"/>
        <v>2560</v>
      </c>
      <c r="I575" t="str">
        <f t="shared" si="81"/>
        <v>Rest of NSW</v>
      </c>
    </row>
    <row r="576" spans="1:29" x14ac:dyDescent="0.2">
      <c r="A576" s="704">
        <v>2563</v>
      </c>
      <c r="B576" s="704">
        <v>2563</v>
      </c>
      <c r="C576" s="704" t="s">
        <v>577</v>
      </c>
      <c r="D576" s="704" t="s">
        <v>526</v>
      </c>
      <c r="E576" s="704">
        <v>1</v>
      </c>
      <c r="F576" s="704">
        <v>100</v>
      </c>
      <c r="H576">
        <f t="shared" si="80"/>
        <v>2563</v>
      </c>
      <c r="I576" t="str">
        <f t="shared" si="81"/>
        <v>Greater Sydney</v>
      </c>
    </row>
    <row r="577" spans="1:9" x14ac:dyDescent="0.2">
      <c r="A577" s="704">
        <v>2564</v>
      </c>
      <c r="B577" s="704">
        <v>2564</v>
      </c>
      <c r="C577" s="704" t="s">
        <v>577</v>
      </c>
      <c r="D577" s="704" t="s">
        <v>526</v>
      </c>
      <c r="E577" s="704">
        <v>1</v>
      </c>
      <c r="F577" s="704">
        <v>100</v>
      </c>
      <c r="H577">
        <f t="shared" si="80"/>
        <v>2564</v>
      </c>
      <c r="I577" t="str">
        <f t="shared" si="81"/>
        <v>Greater Sydney</v>
      </c>
    </row>
    <row r="578" spans="1:9" x14ac:dyDescent="0.2">
      <c r="A578" s="704">
        <v>2565</v>
      </c>
      <c r="B578" s="704">
        <v>2565</v>
      </c>
      <c r="C578" s="704" t="s">
        <v>577</v>
      </c>
      <c r="D578" s="704" t="s">
        <v>526</v>
      </c>
      <c r="E578" s="704">
        <v>1</v>
      </c>
      <c r="F578" s="704">
        <v>100</v>
      </c>
      <c r="H578">
        <f t="shared" si="80"/>
        <v>2565</v>
      </c>
      <c r="I578" t="str">
        <f t="shared" si="81"/>
        <v>Greater Sydney</v>
      </c>
    </row>
    <row r="579" spans="1:9" x14ac:dyDescent="0.2">
      <c r="A579" s="704">
        <v>2566</v>
      </c>
      <c r="B579" s="704">
        <v>2566</v>
      </c>
      <c r="C579" s="704" t="s">
        <v>577</v>
      </c>
      <c r="D579" s="704" t="s">
        <v>526</v>
      </c>
      <c r="E579" s="704">
        <v>1</v>
      </c>
      <c r="F579" s="704">
        <v>100</v>
      </c>
      <c r="H579">
        <f t="shared" si="80"/>
        <v>2566</v>
      </c>
      <c r="I579" t="str">
        <f t="shared" si="81"/>
        <v>Greater Sydney</v>
      </c>
    </row>
    <row r="580" spans="1:9" x14ac:dyDescent="0.2">
      <c r="A580" s="704">
        <v>2567</v>
      </c>
      <c r="B580" s="704">
        <v>2567</v>
      </c>
      <c r="C580" s="704" t="s">
        <v>577</v>
      </c>
      <c r="D580" s="704" t="s">
        <v>526</v>
      </c>
      <c r="E580" s="704">
        <v>1</v>
      </c>
      <c r="F580" s="704">
        <v>100</v>
      </c>
      <c r="H580">
        <f t="shared" si="80"/>
        <v>2567</v>
      </c>
      <c r="I580" t="str">
        <f t="shared" si="81"/>
        <v>Greater Sydney</v>
      </c>
    </row>
    <row r="581" spans="1:9" x14ac:dyDescent="0.2">
      <c r="A581" s="704">
        <v>2568</v>
      </c>
      <c r="B581" s="704">
        <v>2568</v>
      </c>
      <c r="C581" s="704" t="s">
        <v>577</v>
      </c>
      <c r="D581" s="704" t="s">
        <v>526</v>
      </c>
      <c r="E581" s="704">
        <v>1</v>
      </c>
      <c r="F581" s="704">
        <v>100</v>
      </c>
      <c r="H581">
        <f t="shared" si="80"/>
        <v>2568</v>
      </c>
      <c r="I581" t="str">
        <f t="shared" si="81"/>
        <v>Greater Sydney</v>
      </c>
    </row>
    <row r="582" spans="1:9" x14ac:dyDescent="0.2">
      <c r="A582" s="704">
        <v>2569</v>
      </c>
      <c r="B582" s="704">
        <v>2569</v>
      </c>
      <c r="C582" s="704" t="s">
        <v>577</v>
      </c>
      <c r="D582" s="704" t="s">
        <v>526</v>
      </c>
      <c r="E582" s="704">
        <v>1</v>
      </c>
      <c r="F582" s="704">
        <v>100</v>
      </c>
      <c r="H582">
        <f t="shared" si="80"/>
        <v>2569</v>
      </c>
      <c r="I582" t="str">
        <f t="shared" si="81"/>
        <v>Greater Sydney</v>
      </c>
    </row>
    <row r="583" spans="1:9" x14ac:dyDescent="0.2">
      <c r="A583" s="704">
        <v>2570</v>
      </c>
      <c r="B583" s="704">
        <v>2570</v>
      </c>
      <c r="C583" s="704" t="s">
        <v>577</v>
      </c>
      <c r="D583" s="704" t="s">
        <v>526</v>
      </c>
      <c r="E583" s="704">
        <v>1</v>
      </c>
      <c r="F583" s="704">
        <v>100</v>
      </c>
      <c r="H583">
        <f t="shared" si="80"/>
        <v>2570</v>
      </c>
      <c r="I583" t="str">
        <f t="shared" si="81"/>
        <v>Greater Sydney</v>
      </c>
    </row>
    <row r="584" spans="1:9" x14ac:dyDescent="0.2">
      <c r="A584" s="704">
        <v>2571</v>
      </c>
      <c r="B584" s="704">
        <v>2571</v>
      </c>
      <c r="C584" s="704" t="s">
        <v>577</v>
      </c>
      <c r="D584" s="704" t="s">
        <v>526</v>
      </c>
      <c r="E584" s="704">
        <v>0.96604599999999996</v>
      </c>
      <c r="F584" s="704">
        <v>96.604600000000005</v>
      </c>
      <c r="H584">
        <f t="shared" si="80"/>
        <v>2571</v>
      </c>
      <c r="I584" t="str">
        <f t="shared" si="81"/>
        <v>Greater Sydney</v>
      </c>
    </row>
    <row r="585" spans="1:9" x14ac:dyDescent="0.2">
      <c r="A585" s="704">
        <v>2571</v>
      </c>
      <c r="B585" s="704">
        <v>2571</v>
      </c>
      <c r="C585" s="704" t="s">
        <v>578</v>
      </c>
      <c r="D585" s="704" t="s">
        <v>530</v>
      </c>
      <c r="E585" s="704">
        <v>3.39543E-2</v>
      </c>
      <c r="F585" s="704">
        <v>3.3954300000000002</v>
      </c>
      <c r="H585">
        <f t="shared" si="80"/>
        <v>2571</v>
      </c>
      <c r="I585" t="str">
        <f t="shared" si="81"/>
        <v>Rest of NSW</v>
      </c>
    </row>
    <row r="586" spans="1:9" x14ac:dyDescent="0.2">
      <c r="A586" s="704">
        <v>2572</v>
      </c>
      <c r="B586" s="704">
        <v>2572</v>
      </c>
      <c r="C586" s="704" t="s">
        <v>577</v>
      </c>
      <c r="D586" s="704" t="s">
        <v>526</v>
      </c>
      <c r="E586" s="704">
        <v>1</v>
      </c>
      <c r="F586" s="704">
        <v>100</v>
      </c>
      <c r="H586">
        <f t="shared" si="80"/>
        <v>2572</v>
      </c>
      <c r="I586" t="str">
        <f t="shared" si="81"/>
        <v>Greater Sydney</v>
      </c>
    </row>
    <row r="587" spans="1:9" x14ac:dyDescent="0.2">
      <c r="A587" s="704">
        <v>2573</v>
      </c>
      <c r="B587" s="704">
        <v>2573</v>
      </c>
      <c r="C587" s="704" t="s">
        <v>577</v>
      </c>
      <c r="D587" s="704" t="s">
        <v>526</v>
      </c>
      <c r="E587" s="704">
        <v>1</v>
      </c>
      <c r="F587" s="704">
        <v>100</v>
      </c>
      <c r="H587">
        <f t="shared" si="80"/>
        <v>2573</v>
      </c>
      <c r="I587" t="str">
        <f t="shared" si="81"/>
        <v>Greater Sydney</v>
      </c>
    </row>
    <row r="588" spans="1:9" x14ac:dyDescent="0.2">
      <c r="A588" s="704">
        <v>2574</v>
      </c>
      <c r="B588" s="704">
        <v>2574</v>
      </c>
      <c r="C588" s="704" t="s">
        <v>577</v>
      </c>
      <c r="D588" s="704" t="s">
        <v>526</v>
      </c>
      <c r="E588" s="704">
        <v>0.99846999999999997</v>
      </c>
      <c r="F588" s="704">
        <v>99.846900000000005</v>
      </c>
      <c r="H588">
        <f t="shared" si="80"/>
        <v>2574</v>
      </c>
      <c r="I588" t="str">
        <f t="shared" si="81"/>
        <v>Greater Sydney</v>
      </c>
    </row>
    <row r="589" spans="1:9" x14ac:dyDescent="0.2">
      <c r="A589" s="704">
        <v>2574</v>
      </c>
      <c r="B589" s="704">
        <v>2574</v>
      </c>
      <c r="C589" s="704" t="s">
        <v>578</v>
      </c>
      <c r="D589" s="704" t="s">
        <v>530</v>
      </c>
      <c r="E589" s="704">
        <v>1.5305E-3</v>
      </c>
      <c r="F589" s="704">
        <v>0.15305099999999999</v>
      </c>
      <c r="H589">
        <f t="shared" si="80"/>
        <v>2574</v>
      </c>
      <c r="I589" t="str">
        <f t="shared" si="81"/>
        <v>Rest of NSW</v>
      </c>
    </row>
    <row r="590" spans="1:9" x14ac:dyDescent="0.2">
      <c r="A590" s="704">
        <v>2575</v>
      </c>
      <c r="B590" s="704">
        <v>2575</v>
      </c>
      <c r="C590" s="704" t="s">
        <v>578</v>
      </c>
      <c r="D590" s="704" t="s">
        <v>530</v>
      </c>
      <c r="E590" s="704">
        <v>1</v>
      </c>
      <c r="F590" s="704">
        <v>100</v>
      </c>
      <c r="H590">
        <f t="shared" si="80"/>
        <v>2575</v>
      </c>
      <c r="I590" t="str">
        <f t="shared" si="81"/>
        <v>Rest of NSW</v>
      </c>
    </row>
    <row r="591" spans="1:9" x14ac:dyDescent="0.2">
      <c r="A591" s="704">
        <v>2576</v>
      </c>
      <c r="B591" s="704">
        <v>2576</v>
      </c>
      <c r="C591" s="704" t="s">
        <v>578</v>
      </c>
      <c r="D591" s="704" t="s">
        <v>530</v>
      </c>
      <c r="E591" s="704">
        <v>1</v>
      </c>
      <c r="F591" s="704">
        <v>100</v>
      </c>
      <c r="H591">
        <f t="shared" si="80"/>
        <v>2576</v>
      </c>
      <c r="I591" t="str">
        <f t="shared" si="81"/>
        <v>Rest of NSW</v>
      </c>
    </row>
    <row r="592" spans="1:9" x14ac:dyDescent="0.2">
      <c r="A592" s="704">
        <v>2577</v>
      </c>
      <c r="B592" s="704">
        <v>2577</v>
      </c>
      <c r="C592" s="704" t="s">
        <v>578</v>
      </c>
      <c r="D592" s="704" t="s">
        <v>530</v>
      </c>
      <c r="E592" s="704">
        <v>1</v>
      </c>
      <c r="F592" s="704">
        <v>100</v>
      </c>
      <c r="H592">
        <f t="shared" si="80"/>
        <v>2577</v>
      </c>
      <c r="I592" t="str">
        <f t="shared" si="81"/>
        <v>Rest of NSW</v>
      </c>
    </row>
    <row r="593" spans="1:9" x14ac:dyDescent="0.2">
      <c r="A593" s="704">
        <v>2578</v>
      </c>
      <c r="B593" s="704">
        <v>2578</v>
      </c>
      <c r="C593" s="704" t="s">
        <v>578</v>
      </c>
      <c r="D593" s="704" t="s">
        <v>530</v>
      </c>
      <c r="E593" s="704">
        <v>1</v>
      </c>
      <c r="F593" s="704">
        <v>100</v>
      </c>
      <c r="H593">
        <f t="shared" si="80"/>
        <v>2578</v>
      </c>
      <c r="I593" t="str">
        <f t="shared" si="81"/>
        <v>Rest of NSW</v>
      </c>
    </row>
    <row r="594" spans="1:9" x14ac:dyDescent="0.2">
      <c r="A594" s="704">
        <v>2579</v>
      </c>
      <c r="B594" s="704">
        <v>2579</v>
      </c>
      <c r="C594" s="704" t="s">
        <v>578</v>
      </c>
      <c r="D594" s="704" t="s">
        <v>530</v>
      </c>
      <c r="E594" s="704">
        <v>1</v>
      </c>
      <c r="F594" s="704">
        <v>100</v>
      </c>
      <c r="H594">
        <f t="shared" si="80"/>
        <v>2579</v>
      </c>
      <c r="I594" t="str">
        <f t="shared" si="81"/>
        <v>Rest of NSW</v>
      </c>
    </row>
    <row r="595" spans="1:9" x14ac:dyDescent="0.2">
      <c r="A595" s="704">
        <v>2580</v>
      </c>
      <c r="B595" s="704">
        <v>2580</v>
      </c>
      <c r="C595" s="704" t="s">
        <v>578</v>
      </c>
      <c r="D595" s="704" t="s">
        <v>530</v>
      </c>
      <c r="E595" s="704">
        <v>1</v>
      </c>
      <c r="F595" s="704">
        <v>100</v>
      </c>
      <c r="H595">
        <f t="shared" si="80"/>
        <v>2580</v>
      </c>
      <c r="I595" t="str">
        <f t="shared" si="81"/>
        <v>Rest of NSW</v>
      </c>
    </row>
    <row r="596" spans="1:9" x14ac:dyDescent="0.2">
      <c r="A596" s="704">
        <v>2581</v>
      </c>
      <c r="B596" s="704">
        <v>2581</v>
      </c>
      <c r="C596" s="704" t="s">
        <v>578</v>
      </c>
      <c r="D596" s="704" t="s">
        <v>530</v>
      </c>
      <c r="E596" s="704">
        <v>1</v>
      </c>
      <c r="F596" s="704">
        <v>100</v>
      </c>
      <c r="H596">
        <f t="shared" si="80"/>
        <v>2581</v>
      </c>
      <c r="I596" t="str">
        <f t="shared" si="81"/>
        <v>Rest of NSW</v>
      </c>
    </row>
    <row r="597" spans="1:9" x14ac:dyDescent="0.2">
      <c r="A597" s="704">
        <v>2582</v>
      </c>
      <c r="B597" s="704">
        <v>2582</v>
      </c>
      <c r="C597" s="704" t="s">
        <v>578</v>
      </c>
      <c r="D597" s="704" t="s">
        <v>530</v>
      </c>
      <c r="E597" s="704">
        <v>1</v>
      </c>
      <c r="F597" s="704">
        <v>100</v>
      </c>
      <c r="H597">
        <f t="shared" si="80"/>
        <v>2582</v>
      </c>
      <c r="I597" t="str">
        <f t="shared" si="81"/>
        <v>Rest of NSW</v>
      </c>
    </row>
    <row r="598" spans="1:9" x14ac:dyDescent="0.2">
      <c r="A598" s="704">
        <v>2583</v>
      </c>
      <c r="B598" s="704">
        <v>2583</v>
      </c>
      <c r="C598" s="704" t="s">
        <v>578</v>
      </c>
      <c r="D598" s="704" t="s">
        <v>530</v>
      </c>
      <c r="E598" s="704">
        <v>1</v>
      </c>
      <c r="F598" s="704">
        <v>100</v>
      </c>
      <c r="H598">
        <f t="shared" si="80"/>
        <v>2583</v>
      </c>
      <c r="I598" t="str">
        <f t="shared" si="81"/>
        <v>Rest of NSW</v>
      </c>
    </row>
    <row r="599" spans="1:9" x14ac:dyDescent="0.2">
      <c r="A599" s="704">
        <v>2584</v>
      </c>
      <c r="B599" s="704">
        <v>2584</v>
      </c>
      <c r="C599" s="704" t="s">
        <v>578</v>
      </c>
      <c r="D599" s="704" t="s">
        <v>530</v>
      </c>
      <c r="E599" s="704">
        <v>1</v>
      </c>
      <c r="F599" s="704">
        <v>100</v>
      </c>
      <c r="H599">
        <f t="shared" si="80"/>
        <v>2584</v>
      </c>
      <c r="I599" t="str">
        <f t="shared" si="81"/>
        <v>Rest of NSW</v>
      </c>
    </row>
    <row r="600" spans="1:9" x14ac:dyDescent="0.2">
      <c r="A600" s="704">
        <v>2585</v>
      </c>
      <c r="B600" s="704">
        <v>2585</v>
      </c>
      <c r="C600" s="704" t="s">
        <v>578</v>
      </c>
      <c r="D600" s="704" t="s">
        <v>530</v>
      </c>
      <c r="E600" s="704">
        <v>1</v>
      </c>
      <c r="F600" s="704">
        <v>100</v>
      </c>
      <c r="H600">
        <f t="shared" si="80"/>
        <v>2585</v>
      </c>
      <c r="I600" t="str">
        <f t="shared" si="81"/>
        <v>Rest of NSW</v>
      </c>
    </row>
    <row r="601" spans="1:9" x14ac:dyDescent="0.2">
      <c r="A601" s="704">
        <v>2586</v>
      </c>
      <c r="B601" s="704">
        <v>2586</v>
      </c>
      <c r="C601" s="704" t="s">
        <v>578</v>
      </c>
      <c r="D601" s="704" t="s">
        <v>530</v>
      </c>
      <c r="E601" s="704">
        <v>1</v>
      </c>
      <c r="F601" s="704">
        <v>100</v>
      </c>
      <c r="H601">
        <f t="shared" si="80"/>
        <v>2586</v>
      </c>
      <c r="I601" t="str">
        <f t="shared" si="81"/>
        <v>Rest of NSW</v>
      </c>
    </row>
    <row r="602" spans="1:9" x14ac:dyDescent="0.2">
      <c r="A602" s="704">
        <v>2587</v>
      </c>
      <c r="B602" s="704">
        <v>2587</v>
      </c>
      <c r="C602" s="704" t="s">
        <v>578</v>
      </c>
      <c r="D602" s="704" t="s">
        <v>530</v>
      </c>
      <c r="E602" s="704">
        <v>1</v>
      </c>
      <c r="F602" s="704">
        <v>100</v>
      </c>
      <c r="H602">
        <f t="shared" si="80"/>
        <v>2587</v>
      </c>
      <c r="I602" t="str">
        <f t="shared" si="81"/>
        <v>Rest of NSW</v>
      </c>
    </row>
    <row r="603" spans="1:9" x14ac:dyDescent="0.2">
      <c r="A603" s="704">
        <v>2588</v>
      </c>
      <c r="B603" s="704">
        <v>2588</v>
      </c>
      <c r="C603" s="704" t="s">
        <v>578</v>
      </c>
      <c r="D603" s="704" t="s">
        <v>530</v>
      </c>
      <c r="E603" s="704">
        <v>1</v>
      </c>
      <c r="F603" s="704">
        <v>100</v>
      </c>
      <c r="H603">
        <f t="shared" si="80"/>
        <v>2588</v>
      </c>
      <c r="I603" t="str">
        <f t="shared" si="81"/>
        <v>Rest of NSW</v>
      </c>
    </row>
    <row r="604" spans="1:9" x14ac:dyDescent="0.2">
      <c r="A604" s="704">
        <v>2590</v>
      </c>
      <c r="B604" s="704">
        <v>2590</v>
      </c>
      <c r="C604" s="704" t="s">
        <v>578</v>
      </c>
      <c r="D604" s="704" t="s">
        <v>530</v>
      </c>
      <c r="E604" s="704">
        <v>1</v>
      </c>
      <c r="F604" s="704">
        <v>100</v>
      </c>
      <c r="H604">
        <f t="shared" si="80"/>
        <v>2590</v>
      </c>
      <c r="I604" t="str">
        <f t="shared" si="81"/>
        <v>Rest of NSW</v>
      </c>
    </row>
    <row r="605" spans="1:9" x14ac:dyDescent="0.2">
      <c r="A605" s="704">
        <v>2594</v>
      </c>
      <c r="B605" s="704">
        <v>2594</v>
      </c>
      <c r="C605" s="704" t="s">
        <v>578</v>
      </c>
      <c r="D605" s="704" t="s">
        <v>530</v>
      </c>
      <c r="E605" s="704">
        <v>1</v>
      </c>
      <c r="F605" s="704">
        <v>100</v>
      </c>
      <c r="H605">
        <f t="shared" si="80"/>
        <v>2594</v>
      </c>
      <c r="I605" t="str">
        <f t="shared" si="81"/>
        <v>Rest of NSW</v>
      </c>
    </row>
    <row r="606" spans="1:9" x14ac:dyDescent="0.2">
      <c r="A606" s="704">
        <v>2600</v>
      </c>
      <c r="B606" s="704">
        <v>2600</v>
      </c>
      <c r="C606" s="704" t="s">
        <v>581</v>
      </c>
      <c r="D606" s="704" t="s">
        <v>539</v>
      </c>
      <c r="E606" s="704">
        <v>1</v>
      </c>
      <c r="F606" s="704">
        <v>100</v>
      </c>
      <c r="H606">
        <f t="shared" si="80"/>
        <v>2600</v>
      </c>
      <c r="I606" t="str">
        <f t="shared" si="81"/>
        <v>Australian Capital Territory</v>
      </c>
    </row>
    <row r="607" spans="1:9" x14ac:dyDescent="0.2">
      <c r="A607" s="704">
        <v>2601</v>
      </c>
      <c r="B607" s="704">
        <v>2601</v>
      </c>
      <c r="C607" s="704" t="s">
        <v>581</v>
      </c>
      <c r="D607" s="704" t="s">
        <v>539</v>
      </c>
      <c r="E607" s="704">
        <v>1</v>
      </c>
      <c r="F607" s="704">
        <v>100</v>
      </c>
      <c r="H607">
        <f t="shared" si="80"/>
        <v>2601</v>
      </c>
      <c r="I607" t="str">
        <f t="shared" si="81"/>
        <v>Australian Capital Territory</v>
      </c>
    </row>
    <row r="608" spans="1:9" x14ac:dyDescent="0.2">
      <c r="A608" s="704">
        <v>2602</v>
      </c>
      <c r="B608" s="704">
        <v>2602</v>
      </c>
      <c r="C608" s="704" t="s">
        <v>581</v>
      </c>
      <c r="D608" s="704" t="s">
        <v>539</v>
      </c>
      <c r="E608" s="704">
        <v>1</v>
      </c>
      <c r="F608" s="704">
        <v>100</v>
      </c>
      <c r="H608">
        <f t="shared" si="80"/>
        <v>2602</v>
      </c>
      <c r="I608" t="str">
        <f t="shared" si="81"/>
        <v>Australian Capital Territory</v>
      </c>
    </row>
    <row r="609" spans="1:9" x14ac:dyDescent="0.2">
      <c r="A609" s="704">
        <v>2603</v>
      </c>
      <c r="B609" s="704">
        <v>2603</v>
      </c>
      <c r="C609" s="704" t="s">
        <v>581</v>
      </c>
      <c r="D609" s="704" t="s">
        <v>539</v>
      </c>
      <c r="E609" s="704">
        <v>1</v>
      </c>
      <c r="F609" s="704">
        <v>100</v>
      </c>
      <c r="H609">
        <f t="shared" si="80"/>
        <v>2603</v>
      </c>
      <c r="I609" t="str">
        <f t="shared" si="81"/>
        <v>Australian Capital Territory</v>
      </c>
    </row>
    <row r="610" spans="1:9" x14ac:dyDescent="0.2">
      <c r="A610" s="704">
        <v>2604</v>
      </c>
      <c r="B610" s="704">
        <v>2604</v>
      </c>
      <c r="C610" s="704" t="s">
        <v>581</v>
      </c>
      <c r="D610" s="704" t="s">
        <v>539</v>
      </c>
      <c r="E610" s="704">
        <v>1</v>
      </c>
      <c r="F610" s="704">
        <v>100</v>
      </c>
      <c r="H610">
        <f t="shared" si="80"/>
        <v>2604</v>
      </c>
      <c r="I610" t="str">
        <f t="shared" si="81"/>
        <v>Australian Capital Territory</v>
      </c>
    </row>
    <row r="611" spans="1:9" x14ac:dyDescent="0.2">
      <c r="A611" s="704">
        <v>2605</v>
      </c>
      <c r="B611" s="704">
        <v>2605</v>
      </c>
      <c r="C611" s="704" t="s">
        <v>581</v>
      </c>
      <c r="D611" s="704" t="s">
        <v>539</v>
      </c>
      <c r="E611" s="704">
        <v>1</v>
      </c>
      <c r="F611" s="704">
        <v>100</v>
      </c>
      <c r="H611">
        <f t="shared" si="80"/>
        <v>2605</v>
      </c>
      <c r="I611" t="str">
        <f t="shared" si="81"/>
        <v>Australian Capital Territory</v>
      </c>
    </row>
    <row r="612" spans="1:9" x14ac:dyDescent="0.2">
      <c r="A612" s="704">
        <v>2606</v>
      </c>
      <c r="B612" s="704">
        <v>2606</v>
      </c>
      <c r="C612" s="704" t="s">
        <v>581</v>
      </c>
      <c r="D612" s="704" t="s">
        <v>539</v>
      </c>
      <c r="E612" s="704">
        <v>1</v>
      </c>
      <c r="F612" s="704">
        <v>100</v>
      </c>
      <c r="H612">
        <f t="shared" si="80"/>
        <v>2606</v>
      </c>
      <c r="I612" t="str">
        <f t="shared" si="81"/>
        <v>Australian Capital Territory</v>
      </c>
    </row>
    <row r="613" spans="1:9" x14ac:dyDescent="0.2">
      <c r="A613" s="704">
        <v>2607</v>
      </c>
      <c r="B613" s="704">
        <v>2607</v>
      </c>
      <c r="C613" s="704" t="s">
        <v>581</v>
      </c>
      <c r="D613" s="704" t="s">
        <v>539</v>
      </c>
      <c r="E613" s="704">
        <v>1</v>
      </c>
      <c r="F613" s="704">
        <v>100</v>
      </c>
      <c r="H613">
        <f t="shared" si="80"/>
        <v>2607</v>
      </c>
      <c r="I613" t="str">
        <f t="shared" si="81"/>
        <v>Australian Capital Territory</v>
      </c>
    </row>
    <row r="614" spans="1:9" x14ac:dyDescent="0.2">
      <c r="A614" s="704">
        <v>2609</v>
      </c>
      <c r="B614" s="704">
        <v>2609</v>
      </c>
      <c r="C614" s="704" t="s">
        <v>581</v>
      </c>
      <c r="D614" s="704" t="s">
        <v>539</v>
      </c>
      <c r="E614" s="704">
        <v>1</v>
      </c>
      <c r="F614" s="704">
        <v>100</v>
      </c>
      <c r="H614">
        <f t="shared" si="80"/>
        <v>2609</v>
      </c>
      <c r="I614" t="str">
        <f t="shared" si="81"/>
        <v>Australian Capital Territory</v>
      </c>
    </row>
    <row r="615" spans="1:9" x14ac:dyDescent="0.2">
      <c r="A615" s="704">
        <v>2611</v>
      </c>
      <c r="B615" s="704">
        <v>2611</v>
      </c>
      <c r="C615" s="704" t="s">
        <v>578</v>
      </c>
      <c r="D615" s="704" t="s">
        <v>530</v>
      </c>
      <c r="E615" s="704">
        <v>2.6296000000000002E-3</v>
      </c>
      <c r="F615" s="704">
        <v>0.262959</v>
      </c>
      <c r="H615">
        <f t="shared" si="80"/>
        <v>2611</v>
      </c>
      <c r="I615" t="str">
        <f t="shared" si="81"/>
        <v>Rest of NSW</v>
      </c>
    </row>
    <row r="616" spans="1:9" x14ac:dyDescent="0.2">
      <c r="A616" s="704">
        <v>2611</v>
      </c>
      <c r="B616" s="704">
        <v>2611</v>
      </c>
      <c r="C616" s="704" t="s">
        <v>581</v>
      </c>
      <c r="D616" s="704" t="s">
        <v>539</v>
      </c>
      <c r="E616" s="704">
        <v>0.99736999999999998</v>
      </c>
      <c r="F616" s="704">
        <v>99.736999999999995</v>
      </c>
      <c r="H616">
        <f t="shared" si="80"/>
        <v>2611</v>
      </c>
      <c r="I616" t="str">
        <f t="shared" si="81"/>
        <v>Australian Capital Territory</v>
      </c>
    </row>
    <row r="617" spans="1:9" x14ac:dyDescent="0.2">
      <c r="A617" s="704">
        <v>2612</v>
      </c>
      <c r="B617" s="704">
        <v>2612</v>
      </c>
      <c r="C617" s="704" t="s">
        <v>581</v>
      </c>
      <c r="D617" s="704" t="s">
        <v>539</v>
      </c>
      <c r="E617" s="704">
        <v>1</v>
      </c>
      <c r="F617" s="704">
        <v>100</v>
      </c>
      <c r="H617">
        <f t="shared" si="80"/>
        <v>2612</v>
      </c>
      <c r="I617" t="str">
        <f t="shared" si="81"/>
        <v>Australian Capital Territory</v>
      </c>
    </row>
    <row r="618" spans="1:9" x14ac:dyDescent="0.2">
      <c r="A618" s="704">
        <v>2614</v>
      </c>
      <c r="B618" s="704">
        <v>2614</v>
      </c>
      <c r="C618" s="704" t="s">
        <v>581</v>
      </c>
      <c r="D618" s="704" t="s">
        <v>539</v>
      </c>
      <c r="E618" s="704">
        <v>1</v>
      </c>
      <c r="F618" s="704">
        <v>100</v>
      </c>
      <c r="H618">
        <f t="shared" si="80"/>
        <v>2614</v>
      </c>
      <c r="I618" t="str">
        <f t="shared" si="81"/>
        <v>Australian Capital Territory</v>
      </c>
    </row>
    <row r="619" spans="1:9" x14ac:dyDescent="0.2">
      <c r="A619" s="704">
        <v>2615</v>
      </c>
      <c r="B619" s="704">
        <v>2615</v>
      </c>
      <c r="C619" s="704" t="s">
        <v>581</v>
      </c>
      <c r="D619" s="704" t="s">
        <v>539</v>
      </c>
      <c r="E619" s="704">
        <v>0.99995000000000001</v>
      </c>
      <c r="F619" s="704">
        <v>99.995000000000005</v>
      </c>
      <c r="H619">
        <f t="shared" si="80"/>
        <v>2615</v>
      </c>
      <c r="I619" t="str">
        <f t="shared" si="81"/>
        <v>Australian Capital Territory</v>
      </c>
    </row>
    <row r="620" spans="1:9" x14ac:dyDescent="0.2">
      <c r="A620" s="704">
        <v>2617</v>
      </c>
      <c r="B620" s="704">
        <v>2617</v>
      </c>
      <c r="C620" s="704" t="s">
        <v>581</v>
      </c>
      <c r="D620" s="704" t="s">
        <v>539</v>
      </c>
      <c r="E620" s="704">
        <v>1</v>
      </c>
      <c r="F620" s="704">
        <v>100</v>
      </c>
      <c r="H620">
        <f t="shared" si="80"/>
        <v>2617</v>
      </c>
      <c r="I620" t="str">
        <f t="shared" si="81"/>
        <v>Australian Capital Territory</v>
      </c>
    </row>
    <row r="621" spans="1:9" x14ac:dyDescent="0.2">
      <c r="A621" s="704">
        <v>2618</v>
      </c>
      <c r="B621" s="704">
        <v>2618</v>
      </c>
      <c r="C621" s="704" t="s">
        <v>578</v>
      </c>
      <c r="D621" s="704" t="s">
        <v>530</v>
      </c>
      <c r="E621" s="704">
        <v>0.75794399999999995</v>
      </c>
      <c r="F621" s="704">
        <v>75.794399999999996</v>
      </c>
      <c r="H621">
        <f t="shared" si="80"/>
        <v>2618</v>
      </c>
      <c r="I621" t="str">
        <f t="shared" si="81"/>
        <v>Rest of NSW</v>
      </c>
    </row>
    <row r="622" spans="1:9" x14ac:dyDescent="0.2">
      <c r="A622" s="704">
        <v>2618</v>
      </c>
      <c r="B622" s="704">
        <v>2618</v>
      </c>
      <c r="C622" s="704" t="s">
        <v>581</v>
      </c>
      <c r="D622" s="704" t="s">
        <v>539</v>
      </c>
      <c r="E622" s="704">
        <v>0.24205599999999999</v>
      </c>
      <c r="F622" s="704">
        <v>24.2056</v>
      </c>
      <c r="H622">
        <f t="shared" si="80"/>
        <v>2618</v>
      </c>
      <c r="I622" t="str">
        <f t="shared" si="81"/>
        <v>Australian Capital Territory</v>
      </c>
    </row>
    <row r="623" spans="1:9" x14ac:dyDescent="0.2">
      <c r="A623" s="704">
        <v>2619</v>
      </c>
      <c r="B623" s="704">
        <v>2619</v>
      </c>
      <c r="C623" s="704" t="s">
        <v>578</v>
      </c>
      <c r="D623" s="704" t="s">
        <v>530</v>
      </c>
      <c r="E623" s="704">
        <v>1</v>
      </c>
      <c r="F623" s="704">
        <v>100</v>
      </c>
      <c r="H623">
        <f t="shared" si="80"/>
        <v>2619</v>
      </c>
      <c r="I623" t="str">
        <f t="shared" si="81"/>
        <v>Rest of NSW</v>
      </c>
    </row>
    <row r="624" spans="1:9" x14ac:dyDescent="0.2">
      <c r="A624" s="704">
        <v>2620</v>
      </c>
      <c r="B624" s="704">
        <v>2620</v>
      </c>
      <c r="C624" s="704" t="s">
        <v>578</v>
      </c>
      <c r="D624" s="704" t="s">
        <v>530</v>
      </c>
      <c r="E624" s="704">
        <v>0.97486600000000001</v>
      </c>
      <c r="F624" s="704">
        <v>97.486599999999996</v>
      </c>
      <c r="H624">
        <f t="shared" si="80"/>
        <v>2620</v>
      </c>
      <c r="I624" t="str">
        <f t="shared" si="81"/>
        <v>Rest of NSW</v>
      </c>
    </row>
    <row r="625" spans="1:9" x14ac:dyDescent="0.2">
      <c r="A625" s="704">
        <v>2620</v>
      </c>
      <c r="B625" s="704">
        <v>2620</v>
      </c>
      <c r="C625" s="704" t="s">
        <v>581</v>
      </c>
      <c r="D625" s="704" t="s">
        <v>539</v>
      </c>
      <c r="E625" s="704">
        <v>2.5133900000000001E-2</v>
      </c>
      <c r="F625" s="704">
        <v>2.5133899999999998</v>
      </c>
      <c r="H625">
        <f t="shared" si="80"/>
        <v>2620</v>
      </c>
      <c r="I625" t="str">
        <f t="shared" si="81"/>
        <v>Australian Capital Territory</v>
      </c>
    </row>
    <row r="626" spans="1:9" x14ac:dyDescent="0.2">
      <c r="A626" s="704">
        <v>2621</v>
      </c>
      <c r="B626" s="704">
        <v>2621</v>
      </c>
      <c r="C626" s="704" t="s">
        <v>578</v>
      </c>
      <c r="D626" s="704" t="s">
        <v>530</v>
      </c>
      <c r="E626" s="704">
        <v>1</v>
      </c>
      <c r="F626" s="704">
        <v>100</v>
      </c>
      <c r="H626">
        <f t="shared" si="80"/>
        <v>2621</v>
      </c>
      <c r="I626" t="str">
        <f t="shared" si="81"/>
        <v>Rest of NSW</v>
      </c>
    </row>
    <row r="627" spans="1:9" x14ac:dyDescent="0.2">
      <c r="A627" s="704">
        <v>2622</v>
      </c>
      <c r="B627" s="704">
        <v>2622</v>
      </c>
      <c r="C627" s="704" t="s">
        <v>578</v>
      </c>
      <c r="D627" s="704" t="s">
        <v>530</v>
      </c>
      <c r="E627" s="704">
        <v>1</v>
      </c>
      <c r="F627" s="704">
        <v>100</v>
      </c>
      <c r="H627">
        <f t="shared" si="80"/>
        <v>2622</v>
      </c>
      <c r="I627" t="str">
        <f t="shared" si="81"/>
        <v>Rest of NSW</v>
      </c>
    </row>
    <row r="628" spans="1:9" x14ac:dyDescent="0.2">
      <c r="A628" s="704">
        <v>2623</v>
      </c>
      <c r="B628" s="704">
        <v>2623</v>
      </c>
      <c r="C628" s="704" t="s">
        <v>578</v>
      </c>
      <c r="D628" s="704" t="s">
        <v>530</v>
      </c>
      <c r="E628" s="704">
        <v>1</v>
      </c>
      <c r="F628" s="704">
        <v>100</v>
      </c>
      <c r="H628">
        <f t="shared" si="80"/>
        <v>2623</v>
      </c>
      <c r="I628" t="str">
        <f t="shared" si="81"/>
        <v>Rest of NSW</v>
      </c>
    </row>
    <row r="629" spans="1:9" x14ac:dyDescent="0.2">
      <c r="A629" s="704">
        <v>2624</v>
      </c>
      <c r="B629" s="704">
        <v>2624</v>
      </c>
      <c r="C629" s="704" t="s">
        <v>578</v>
      </c>
      <c r="D629" s="704" t="s">
        <v>530</v>
      </c>
      <c r="E629" s="704">
        <v>1</v>
      </c>
      <c r="F629" s="704">
        <v>100</v>
      </c>
      <c r="H629">
        <f t="shared" si="80"/>
        <v>2624</v>
      </c>
      <c r="I629" t="str">
        <f t="shared" si="81"/>
        <v>Rest of NSW</v>
      </c>
    </row>
    <row r="630" spans="1:9" x14ac:dyDescent="0.2">
      <c r="A630" s="704">
        <v>2625</v>
      </c>
      <c r="B630" s="704">
        <v>2625</v>
      </c>
      <c r="C630" s="704" t="s">
        <v>578</v>
      </c>
      <c r="D630" s="704" t="s">
        <v>530</v>
      </c>
      <c r="E630" s="704">
        <v>1</v>
      </c>
      <c r="F630" s="704">
        <v>100</v>
      </c>
      <c r="H630">
        <f t="shared" si="80"/>
        <v>2625</v>
      </c>
      <c r="I630" t="str">
        <f t="shared" si="81"/>
        <v>Rest of NSW</v>
      </c>
    </row>
    <row r="631" spans="1:9" x14ac:dyDescent="0.2">
      <c r="A631" s="704">
        <v>2626</v>
      </c>
      <c r="B631" s="704">
        <v>2626</v>
      </c>
      <c r="C631" s="704" t="s">
        <v>578</v>
      </c>
      <c r="D631" s="704" t="s">
        <v>530</v>
      </c>
      <c r="E631" s="704">
        <v>1</v>
      </c>
      <c r="F631" s="704">
        <v>100</v>
      </c>
      <c r="H631">
        <f t="shared" si="80"/>
        <v>2626</v>
      </c>
      <c r="I631" t="str">
        <f t="shared" si="81"/>
        <v>Rest of NSW</v>
      </c>
    </row>
    <row r="632" spans="1:9" x14ac:dyDescent="0.2">
      <c r="A632" s="704">
        <v>2627</v>
      </c>
      <c r="B632" s="704">
        <v>2627</v>
      </c>
      <c r="C632" s="704" t="s">
        <v>578</v>
      </c>
      <c r="D632" s="704" t="s">
        <v>530</v>
      </c>
      <c r="E632" s="704">
        <v>1</v>
      </c>
      <c r="F632" s="704">
        <v>100</v>
      </c>
      <c r="H632">
        <f t="shared" si="80"/>
        <v>2627</v>
      </c>
      <c r="I632" t="str">
        <f t="shared" si="81"/>
        <v>Rest of NSW</v>
      </c>
    </row>
    <row r="633" spans="1:9" x14ac:dyDescent="0.2">
      <c r="A633" s="704">
        <v>2628</v>
      </c>
      <c r="B633" s="704">
        <v>2628</v>
      </c>
      <c r="C633" s="704" t="s">
        <v>578</v>
      </c>
      <c r="D633" s="704" t="s">
        <v>530</v>
      </c>
      <c r="E633" s="704">
        <v>1</v>
      </c>
      <c r="F633" s="704">
        <v>100</v>
      </c>
      <c r="H633">
        <f t="shared" ref="H633:H696" si="82">A633*1</f>
        <v>2628</v>
      </c>
      <c r="I633" t="str">
        <f t="shared" ref="I633:I696" si="83">D633</f>
        <v>Rest of NSW</v>
      </c>
    </row>
    <row r="634" spans="1:9" x14ac:dyDescent="0.2">
      <c r="A634" s="704">
        <v>2629</v>
      </c>
      <c r="B634" s="704">
        <v>2629</v>
      </c>
      <c r="C634" s="704" t="s">
        <v>578</v>
      </c>
      <c r="D634" s="704" t="s">
        <v>530</v>
      </c>
      <c r="E634" s="704">
        <v>1</v>
      </c>
      <c r="F634" s="704">
        <v>100</v>
      </c>
      <c r="H634">
        <f t="shared" si="82"/>
        <v>2629</v>
      </c>
      <c r="I634" t="str">
        <f t="shared" si="83"/>
        <v>Rest of NSW</v>
      </c>
    </row>
    <row r="635" spans="1:9" x14ac:dyDescent="0.2">
      <c r="A635" s="704">
        <v>2630</v>
      </c>
      <c r="B635" s="704">
        <v>2630</v>
      </c>
      <c r="C635" s="704" t="s">
        <v>578</v>
      </c>
      <c r="D635" s="704" t="s">
        <v>530</v>
      </c>
      <c r="E635" s="704">
        <v>1</v>
      </c>
      <c r="F635" s="704">
        <v>100</v>
      </c>
      <c r="H635">
        <f t="shared" si="82"/>
        <v>2630</v>
      </c>
      <c r="I635" t="str">
        <f t="shared" si="83"/>
        <v>Rest of NSW</v>
      </c>
    </row>
    <row r="636" spans="1:9" x14ac:dyDescent="0.2">
      <c r="A636" s="704">
        <v>2631</v>
      </c>
      <c r="B636" s="704">
        <v>2631</v>
      </c>
      <c r="C636" s="704" t="s">
        <v>578</v>
      </c>
      <c r="D636" s="704" t="s">
        <v>530</v>
      </c>
      <c r="E636" s="704">
        <v>1</v>
      </c>
      <c r="F636" s="704">
        <v>100</v>
      </c>
      <c r="H636">
        <f t="shared" si="82"/>
        <v>2631</v>
      </c>
      <c r="I636" t="str">
        <f t="shared" si="83"/>
        <v>Rest of NSW</v>
      </c>
    </row>
    <row r="637" spans="1:9" x14ac:dyDescent="0.2">
      <c r="A637" s="704">
        <v>2632</v>
      </c>
      <c r="B637" s="704">
        <v>2632</v>
      </c>
      <c r="C637" s="704" t="s">
        <v>578</v>
      </c>
      <c r="D637" s="704" t="s">
        <v>530</v>
      </c>
      <c r="E637" s="704">
        <v>1</v>
      </c>
      <c r="F637" s="704">
        <v>100</v>
      </c>
      <c r="H637">
        <f t="shared" si="82"/>
        <v>2632</v>
      </c>
      <c r="I637" t="str">
        <f t="shared" si="83"/>
        <v>Rest of NSW</v>
      </c>
    </row>
    <row r="638" spans="1:9" x14ac:dyDescent="0.2">
      <c r="A638" s="704">
        <v>2633</v>
      </c>
      <c r="B638" s="704">
        <v>2633</v>
      </c>
      <c r="C638" s="704" t="s">
        <v>578</v>
      </c>
      <c r="D638" s="704" t="s">
        <v>530</v>
      </c>
      <c r="E638" s="704">
        <v>1</v>
      </c>
      <c r="F638" s="704">
        <v>100</v>
      </c>
      <c r="H638">
        <f t="shared" si="82"/>
        <v>2633</v>
      </c>
      <c r="I638" t="str">
        <f t="shared" si="83"/>
        <v>Rest of NSW</v>
      </c>
    </row>
    <row r="639" spans="1:9" x14ac:dyDescent="0.2">
      <c r="A639" s="704">
        <v>2640</v>
      </c>
      <c r="B639" s="704">
        <v>2640</v>
      </c>
      <c r="C639" s="704" t="s">
        <v>578</v>
      </c>
      <c r="D639" s="704" t="s">
        <v>530</v>
      </c>
      <c r="E639" s="704">
        <v>0.99970700000000001</v>
      </c>
      <c r="F639" s="704">
        <v>99.970699999999994</v>
      </c>
      <c r="H639">
        <f t="shared" si="82"/>
        <v>2640</v>
      </c>
      <c r="I639" t="str">
        <f t="shared" si="83"/>
        <v>Rest of NSW</v>
      </c>
    </row>
    <row r="640" spans="1:9" x14ac:dyDescent="0.2">
      <c r="A640" s="704">
        <v>2640</v>
      </c>
      <c r="B640" s="704">
        <v>2640</v>
      </c>
      <c r="C640" s="704" t="s">
        <v>582</v>
      </c>
      <c r="D640" s="704" t="s">
        <v>541</v>
      </c>
      <c r="E640" s="704">
        <v>2.9339999999999998E-4</v>
      </c>
      <c r="F640" s="704">
        <v>2.9338699999999999E-2</v>
      </c>
      <c r="H640">
        <f t="shared" si="82"/>
        <v>2640</v>
      </c>
      <c r="I640" t="str">
        <f t="shared" si="83"/>
        <v>Rest of Vic.</v>
      </c>
    </row>
    <row r="641" spans="1:9" x14ac:dyDescent="0.2">
      <c r="A641" s="704">
        <v>2641</v>
      </c>
      <c r="B641" s="704">
        <v>2641</v>
      </c>
      <c r="C641" s="704" t="s">
        <v>578</v>
      </c>
      <c r="D641" s="704" t="s">
        <v>530</v>
      </c>
      <c r="E641" s="704">
        <v>1</v>
      </c>
      <c r="F641" s="704">
        <v>100</v>
      </c>
      <c r="H641">
        <f t="shared" si="82"/>
        <v>2641</v>
      </c>
      <c r="I641" t="str">
        <f t="shared" si="83"/>
        <v>Rest of NSW</v>
      </c>
    </row>
    <row r="642" spans="1:9" x14ac:dyDescent="0.2">
      <c r="A642" s="704">
        <v>2642</v>
      </c>
      <c r="B642" s="704">
        <v>2642</v>
      </c>
      <c r="C642" s="704" t="s">
        <v>578</v>
      </c>
      <c r="D642" s="704" t="s">
        <v>530</v>
      </c>
      <c r="E642" s="704">
        <v>0.99940499999999999</v>
      </c>
      <c r="F642" s="704">
        <v>99.9405</v>
      </c>
      <c r="H642">
        <f t="shared" si="82"/>
        <v>2642</v>
      </c>
      <c r="I642" t="str">
        <f t="shared" si="83"/>
        <v>Rest of NSW</v>
      </c>
    </row>
    <row r="643" spans="1:9" x14ac:dyDescent="0.2">
      <c r="A643" s="704">
        <v>2642</v>
      </c>
      <c r="B643" s="704">
        <v>2642</v>
      </c>
      <c r="C643" s="704" t="s">
        <v>582</v>
      </c>
      <c r="D643" s="704" t="s">
        <v>541</v>
      </c>
      <c r="E643" s="704">
        <v>5.9489999999999999E-4</v>
      </c>
      <c r="F643" s="704">
        <v>5.9494900000000003E-2</v>
      </c>
      <c r="H643">
        <f t="shared" si="82"/>
        <v>2642</v>
      </c>
      <c r="I643" t="str">
        <f t="shared" si="83"/>
        <v>Rest of Vic.</v>
      </c>
    </row>
    <row r="644" spans="1:9" x14ac:dyDescent="0.2">
      <c r="A644" s="704">
        <v>2643</v>
      </c>
      <c r="B644" s="704">
        <v>2643</v>
      </c>
      <c r="C644" s="704" t="s">
        <v>578</v>
      </c>
      <c r="D644" s="704" t="s">
        <v>530</v>
      </c>
      <c r="E644" s="704">
        <v>0.99915900000000002</v>
      </c>
      <c r="F644" s="704">
        <v>99.915999999999997</v>
      </c>
      <c r="H644">
        <f t="shared" si="82"/>
        <v>2643</v>
      </c>
      <c r="I644" t="str">
        <f t="shared" si="83"/>
        <v>Rest of NSW</v>
      </c>
    </row>
    <row r="645" spans="1:9" x14ac:dyDescent="0.2">
      <c r="A645" s="704">
        <v>2643</v>
      </c>
      <c r="B645" s="704">
        <v>2643</v>
      </c>
      <c r="C645" s="704" t="s">
        <v>582</v>
      </c>
      <c r="D645" s="704" t="s">
        <v>541</v>
      </c>
      <c r="E645" s="704">
        <v>8.4049999999999999E-4</v>
      </c>
      <c r="F645" s="704">
        <v>8.40471E-2</v>
      </c>
      <c r="H645">
        <f t="shared" si="82"/>
        <v>2643</v>
      </c>
      <c r="I645" t="str">
        <f t="shared" si="83"/>
        <v>Rest of Vic.</v>
      </c>
    </row>
    <row r="646" spans="1:9" x14ac:dyDescent="0.2">
      <c r="A646" s="704">
        <v>2644</v>
      </c>
      <c r="B646" s="704">
        <v>2644</v>
      </c>
      <c r="C646" s="704" t="s">
        <v>578</v>
      </c>
      <c r="D646" s="704" t="s">
        <v>530</v>
      </c>
      <c r="E646" s="704">
        <v>1</v>
      </c>
      <c r="F646" s="704">
        <v>100</v>
      </c>
      <c r="H646">
        <f t="shared" si="82"/>
        <v>2644</v>
      </c>
      <c r="I646" t="str">
        <f t="shared" si="83"/>
        <v>Rest of NSW</v>
      </c>
    </row>
    <row r="647" spans="1:9" x14ac:dyDescent="0.2">
      <c r="A647" s="704">
        <v>2645</v>
      </c>
      <c r="B647" s="704">
        <v>2645</v>
      </c>
      <c r="C647" s="704" t="s">
        <v>578</v>
      </c>
      <c r="D647" s="704" t="s">
        <v>530</v>
      </c>
      <c r="E647" s="704">
        <v>1</v>
      </c>
      <c r="F647" s="704">
        <v>100</v>
      </c>
      <c r="H647">
        <f t="shared" si="82"/>
        <v>2645</v>
      </c>
      <c r="I647" t="str">
        <f t="shared" si="83"/>
        <v>Rest of NSW</v>
      </c>
    </row>
    <row r="648" spans="1:9" x14ac:dyDescent="0.2">
      <c r="A648" s="704">
        <v>2646</v>
      </c>
      <c r="B648" s="704">
        <v>2646</v>
      </c>
      <c r="C648" s="704" t="s">
        <v>578</v>
      </c>
      <c r="D648" s="704" t="s">
        <v>530</v>
      </c>
      <c r="E648" s="704">
        <v>1</v>
      </c>
      <c r="F648" s="704">
        <v>100</v>
      </c>
      <c r="H648">
        <f t="shared" si="82"/>
        <v>2646</v>
      </c>
      <c r="I648" t="str">
        <f t="shared" si="83"/>
        <v>Rest of NSW</v>
      </c>
    </row>
    <row r="649" spans="1:9" x14ac:dyDescent="0.2">
      <c r="A649" s="704">
        <v>2647</v>
      </c>
      <c r="B649" s="704">
        <v>2647</v>
      </c>
      <c r="C649" s="704" t="s">
        <v>578</v>
      </c>
      <c r="D649" s="704" t="s">
        <v>530</v>
      </c>
      <c r="E649" s="704">
        <v>0.99990800000000002</v>
      </c>
      <c r="F649" s="704">
        <v>99.990899999999996</v>
      </c>
      <c r="H649">
        <f t="shared" si="82"/>
        <v>2647</v>
      </c>
      <c r="I649" t="str">
        <f t="shared" si="83"/>
        <v>Rest of NSW</v>
      </c>
    </row>
    <row r="650" spans="1:9" x14ac:dyDescent="0.2">
      <c r="A650" s="704">
        <v>2648</v>
      </c>
      <c r="B650" s="704">
        <v>2648</v>
      </c>
      <c r="C650" s="704" t="s">
        <v>578</v>
      </c>
      <c r="D650" s="704" t="s">
        <v>530</v>
      </c>
      <c r="E650" s="704">
        <v>1</v>
      </c>
      <c r="F650" s="704">
        <v>100</v>
      </c>
      <c r="H650">
        <f t="shared" si="82"/>
        <v>2648</v>
      </c>
      <c r="I650" t="str">
        <f t="shared" si="83"/>
        <v>Rest of NSW</v>
      </c>
    </row>
    <row r="651" spans="1:9" x14ac:dyDescent="0.2">
      <c r="A651" s="704">
        <v>2649</v>
      </c>
      <c r="B651" s="704">
        <v>2649</v>
      </c>
      <c r="C651" s="704" t="s">
        <v>578</v>
      </c>
      <c r="D651" s="704" t="s">
        <v>530</v>
      </c>
      <c r="E651" s="704">
        <v>1</v>
      </c>
      <c r="F651" s="704">
        <v>100</v>
      </c>
      <c r="H651">
        <f t="shared" si="82"/>
        <v>2649</v>
      </c>
      <c r="I651" t="str">
        <f t="shared" si="83"/>
        <v>Rest of NSW</v>
      </c>
    </row>
    <row r="652" spans="1:9" x14ac:dyDescent="0.2">
      <c r="A652" s="704">
        <v>2650</v>
      </c>
      <c r="B652" s="704">
        <v>2650</v>
      </c>
      <c r="C652" s="704" t="s">
        <v>578</v>
      </c>
      <c r="D652" s="704" t="s">
        <v>530</v>
      </c>
      <c r="E652" s="704">
        <v>1</v>
      </c>
      <c r="F652" s="704">
        <v>100</v>
      </c>
      <c r="H652">
        <f t="shared" si="82"/>
        <v>2650</v>
      </c>
      <c r="I652" t="str">
        <f t="shared" si="83"/>
        <v>Rest of NSW</v>
      </c>
    </row>
    <row r="653" spans="1:9" x14ac:dyDescent="0.2">
      <c r="A653" s="704">
        <v>2651</v>
      </c>
      <c r="B653" s="704">
        <v>2651</v>
      </c>
      <c r="C653" s="704" t="s">
        <v>578</v>
      </c>
      <c r="D653" s="704" t="s">
        <v>530</v>
      </c>
      <c r="E653" s="704">
        <v>1</v>
      </c>
      <c r="F653" s="704">
        <v>100</v>
      </c>
      <c r="H653">
        <f t="shared" si="82"/>
        <v>2651</v>
      </c>
      <c r="I653" t="str">
        <f t="shared" si="83"/>
        <v>Rest of NSW</v>
      </c>
    </row>
    <row r="654" spans="1:9" x14ac:dyDescent="0.2">
      <c r="A654" s="704">
        <v>2652</v>
      </c>
      <c r="B654" s="704">
        <v>2652</v>
      </c>
      <c r="C654" s="704" t="s">
        <v>578</v>
      </c>
      <c r="D654" s="704" t="s">
        <v>530</v>
      </c>
      <c r="E654" s="704">
        <v>1</v>
      </c>
      <c r="F654" s="704">
        <v>100</v>
      </c>
      <c r="H654">
        <f t="shared" si="82"/>
        <v>2652</v>
      </c>
      <c r="I654" t="str">
        <f t="shared" si="83"/>
        <v>Rest of NSW</v>
      </c>
    </row>
    <row r="655" spans="1:9" x14ac:dyDescent="0.2">
      <c r="A655" s="704">
        <v>2653</v>
      </c>
      <c r="B655" s="704">
        <v>2653</v>
      </c>
      <c r="C655" s="704" t="s">
        <v>578</v>
      </c>
      <c r="D655" s="704" t="s">
        <v>530</v>
      </c>
      <c r="E655" s="704">
        <v>1</v>
      </c>
      <c r="F655" s="704">
        <v>100</v>
      </c>
      <c r="H655">
        <f t="shared" si="82"/>
        <v>2653</v>
      </c>
      <c r="I655" t="str">
        <f t="shared" si="83"/>
        <v>Rest of NSW</v>
      </c>
    </row>
    <row r="656" spans="1:9" x14ac:dyDescent="0.2">
      <c r="A656" s="704">
        <v>2655</v>
      </c>
      <c r="B656" s="704">
        <v>2655</v>
      </c>
      <c r="C656" s="704" t="s">
        <v>578</v>
      </c>
      <c r="D656" s="704" t="s">
        <v>530</v>
      </c>
      <c r="E656" s="704">
        <v>1</v>
      </c>
      <c r="F656" s="704">
        <v>100</v>
      </c>
      <c r="H656">
        <f t="shared" si="82"/>
        <v>2655</v>
      </c>
      <c r="I656" t="str">
        <f t="shared" si="83"/>
        <v>Rest of NSW</v>
      </c>
    </row>
    <row r="657" spans="1:9" x14ac:dyDescent="0.2">
      <c r="A657" s="704">
        <v>2656</v>
      </c>
      <c r="B657" s="704">
        <v>2656</v>
      </c>
      <c r="C657" s="704" t="s">
        <v>578</v>
      </c>
      <c r="D657" s="704" t="s">
        <v>530</v>
      </c>
      <c r="E657" s="704">
        <v>1</v>
      </c>
      <c r="F657" s="704">
        <v>100</v>
      </c>
      <c r="H657">
        <f t="shared" si="82"/>
        <v>2656</v>
      </c>
      <c r="I657" t="str">
        <f t="shared" si="83"/>
        <v>Rest of NSW</v>
      </c>
    </row>
    <row r="658" spans="1:9" x14ac:dyDescent="0.2">
      <c r="A658" s="704">
        <v>2658</v>
      </c>
      <c r="B658" s="704">
        <v>2658</v>
      </c>
      <c r="C658" s="704" t="s">
        <v>578</v>
      </c>
      <c r="D658" s="704" t="s">
        <v>530</v>
      </c>
      <c r="E658" s="704">
        <v>1</v>
      </c>
      <c r="F658" s="704">
        <v>100</v>
      </c>
      <c r="H658">
        <f t="shared" si="82"/>
        <v>2658</v>
      </c>
      <c r="I658" t="str">
        <f t="shared" si="83"/>
        <v>Rest of NSW</v>
      </c>
    </row>
    <row r="659" spans="1:9" x14ac:dyDescent="0.2">
      <c r="A659" s="704">
        <v>2659</v>
      </c>
      <c r="B659" s="704">
        <v>2659</v>
      </c>
      <c r="C659" s="704" t="s">
        <v>578</v>
      </c>
      <c r="D659" s="704" t="s">
        <v>530</v>
      </c>
      <c r="E659" s="704">
        <v>1</v>
      </c>
      <c r="F659" s="704">
        <v>100</v>
      </c>
      <c r="H659">
        <f t="shared" si="82"/>
        <v>2659</v>
      </c>
      <c r="I659" t="str">
        <f t="shared" si="83"/>
        <v>Rest of NSW</v>
      </c>
    </row>
    <row r="660" spans="1:9" x14ac:dyDescent="0.2">
      <c r="A660" s="704">
        <v>2660</v>
      </c>
      <c r="B660" s="704">
        <v>2660</v>
      </c>
      <c r="C660" s="704" t="s">
        <v>578</v>
      </c>
      <c r="D660" s="704" t="s">
        <v>530</v>
      </c>
      <c r="E660" s="704">
        <v>1</v>
      </c>
      <c r="F660" s="704">
        <v>100</v>
      </c>
      <c r="H660">
        <f t="shared" si="82"/>
        <v>2660</v>
      </c>
      <c r="I660" t="str">
        <f t="shared" si="83"/>
        <v>Rest of NSW</v>
      </c>
    </row>
    <row r="661" spans="1:9" x14ac:dyDescent="0.2">
      <c r="A661" s="704">
        <v>2661</v>
      </c>
      <c r="B661" s="704">
        <v>2661</v>
      </c>
      <c r="C661" s="704" t="s">
        <v>578</v>
      </c>
      <c r="D661" s="704" t="s">
        <v>530</v>
      </c>
      <c r="E661" s="704">
        <v>1</v>
      </c>
      <c r="F661" s="704">
        <v>100</v>
      </c>
      <c r="H661">
        <f t="shared" si="82"/>
        <v>2661</v>
      </c>
      <c r="I661" t="str">
        <f t="shared" si="83"/>
        <v>Rest of NSW</v>
      </c>
    </row>
    <row r="662" spans="1:9" x14ac:dyDescent="0.2">
      <c r="A662" s="704">
        <v>2663</v>
      </c>
      <c r="B662" s="704">
        <v>2663</v>
      </c>
      <c r="C662" s="704" t="s">
        <v>578</v>
      </c>
      <c r="D662" s="704" t="s">
        <v>530</v>
      </c>
      <c r="E662" s="704">
        <v>1</v>
      </c>
      <c r="F662" s="704">
        <v>100</v>
      </c>
      <c r="H662">
        <f t="shared" si="82"/>
        <v>2663</v>
      </c>
      <c r="I662" t="str">
        <f t="shared" si="83"/>
        <v>Rest of NSW</v>
      </c>
    </row>
    <row r="663" spans="1:9" x14ac:dyDescent="0.2">
      <c r="A663" s="704">
        <v>2665</v>
      </c>
      <c r="B663" s="704">
        <v>2665</v>
      </c>
      <c r="C663" s="704" t="s">
        <v>578</v>
      </c>
      <c r="D663" s="704" t="s">
        <v>530</v>
      </c>
      <c r="E663" s="704">
        <v>1</v>
      </c>
      <c r="F663" s="704">
        <v>100</v>
      </c>
      <c r="H663">
        <f t="shared" si="82"/>
        <v>2665</v>
      </c>
      <c r="I663" t="str">
        <f t="shared" si="83"/>
        <v>Rest of NSW</v>
      </c>
    </row>
    <row r="664" spans="1:9" x14ac:dyDescent="0.2">
      <c r="A664" s="704">
        <v>2666</v>
      </c>
      <c r="B664" s="704">
        <v>2666</v>
      </c>
      <c r="C664" s="704" t="s">
        <v>578</v>
      </c>
      <c r="D664" s="704" t="s">
        <v>530</v>
      </c>
      <c r="E664" s="704">
        <v>1</v>
      </c>
      <c r="F664" s="704">
        <v>100</v>
      </c>
      <c r="H664">
        <f t="shared" si="82"/>
        <v>2666</v>
      </c>
      <c r="I664" t="str">
        <f t="shared" si="83"/>
        <v>Rest of NSW</v>
      </c>
    </row>
    <row r="665" spans="1:9" x14ac:dyDescent="0.2">
      <c r="A665" s="704">
        <v>2668</v>
      </c>
      <c r="B665" s="704">
        <v>2668</v>
      </c>
      <c r="C665" s="704" t="s">
        <v>578</v>
      </c>
      <c r="D665" s="704" t="s">
        <v>530</v>
      </c>
      <c r="E665" s="704">
        <v>1</v>
      </c>
      <c r="F665" s="704">
        <v>100</v>
      </c>
      <c r="H665">
        <f t="shared" si="82"/>
        <v>2668</v>
      </c>
      <c r="I665" t="str">
        <f t="shared" si="83"/>
        <v>Rest of NSW</v>
      </c>
    </row>
    <row r="666" spans="1:9" x14ac:dyDescent="0.2">
      <c r="A666" s="704">
        <v>2669</v>
      </c>
      <c r="B666" s="704">
        <v>2669</v>
      </c>
      <c r="C666" s="704" t="s">
        <v>578</v>
      </c>
      <c r="D666" s="704" t="s">
        <v>530</v>
      </c>
      <c r="E666" s="704">
        <v>1</v>
      </c>
      <c r="F666" s="704">
        <v>100</v>
      </c>
      <c r="H666">
        <f t="shared" si="82"/>
        <v>2669</v>
      </c>
      <c r="I666" t="str">
        <f t="shared" si="83"/>
        <v>Rest of NSW</v>
      </c>
    </row>
    <row r="667" spans="1:9" x14ac:dyDescent="0.2">
      <c r="A667" s="704">
        <v>2671</v>
      </c>
      <c r="B667" s="704">
        <v>2671</v>
      </c>
      <c r="C667" s="704" t="s">
        <v>578</v>
      </c>
      <c r="D667" s="704" t="s">
        <v>530</v>
      </c>
      <c r="E667" s="704">
        <v>1</v>
      </c>
      <c r="F667" s="704">
        <v>100</v>
      </c>
      <c r="H667">
        <f t="shared" si="82"/>
        <v>2671</v>
      </c>
      <c r="I667" t="str">
        <f t="shared" si="83"/>
        <v>Rest of NSW</v>
      </c>
    </row>
    <row r="668" spans="1:9" x14ac:dyDescent="0.2">
      <c r="A668" s="704">
        <v>2672</v>
      </c>
      <c r="B668" s="704">
        <v>2672</v>
      </c>
      <c r="C668" s="704" t="s">
        <v>578</v>
      </c>
      <c r="D668" s="704" t="s">
        <v>530</v>
      </c>
      <c r="E668" s="704">
        <v>1</v>
      </c>
      <c r="F668" s="704">
        <v>100</v>
      </c>
      <c r="H668">
        <f t="shared" si="82"/>
        <v>2672</v>
      </c>
      <c r="I668" t="str">
        <f t="shared" si="83"/>
        <v>Rest of NSW</v>
      </c>
    </row>
    <row r="669" spans="1:9" x14ac:dyDescent="0.2">
      <c r="A669" s="704">
        <v>2675</v>
      </c>
      <c r="B669" s="704">
        <v>2675</v>
      </c>
      <c r="C669" s="704" t="s">
        <v>578</v>
      </c>
      <c r="D669" s="704" t="s">
        <v>530</v>
      </c>
      <c r="E669" s="704">
        <v>1</v>
      </c>
      <c r="F669" s="704">
        <v>100</v>
      </c>
      <c r="H669">
        <f t="shared" si="82"/>
        <v>2675</v>
      </c>
      <c r="I669" t="str">
        <f t="shared" si="83"/>
        <v>Rest of NSW</v>
      </c>
    </row>
    <row r="670" spans="1:9" x14ac:dyDescent="0.2">
      <c r="A670" s="704">
        <v>2678</v>
      </c>
      <c r="B670" s="704">
        <v>2678</v>
      </c>
      <c r="C670" s="704" t="s">
        <v>578</v>
      </c>
      <c r="D670" s="704" t="s">
        <v>530</v>
      </c>
      <c r="E670" s="704">
        <v>1</v>
      </c>
      <c r="F670" s="704">
        <v>100</v>
      </c>
      <c r="H670">
        <f t="shared" si="82"/>
        <v>2678</v>
      </c>
      <c r="I670" t="str">
        <f t="shared" si="83"/>
        <v>Rest of NSW</v>
      </c>
    </row>
    <row r="671" spans="1:9" x14ac:dyDescent="0.2">
      <c r="A671" s="704">
        <v>2680</v>
      </c>
      <c r="B671" s="704">
        <v>2680</v>
      </c>
      <c r="C671" s="704" t="s">
        <v>578</v>
      </c>
      <c r="D671" s="704" t="s">
        <v>530</v>
      </c>
      <c r="E671" s="704">
        <v>1</v>
      </c>
      <c r="F671" s="704">
        <v>100</v>
      </c>
      <c r="H671">
        <f t="shared" si="82"/>
        <v>2680</v>
      </c>
      <c r="I671" t="str">
        <f t="shared" si="83"/>
        <v>Rest of NSW</v>
      </c>
    </row>
    <row r="672" spans="1:9" x14ac:dyDescent="0.2">
      <c r="A672" s="704">
        <v>2681</v>
      </c>
      <c r="B672" s="704">
        <v>2681</v>
      </c>
      <c r="C672" s="704" t="s">
        <v>578</v>
      </c>
      <c r="D672" s="704" t="s">
        <v>530</v>
      </c>
      <c r="E672" s="704">
        <v>1</v>
      </c>
      <c r="F672" s="704">
        <v>100</v>
      </c>
      <c r="H672">
        <f t="shared" si="82"/>
        <v>2681</v>
      </c>
      <c r="I672" t="str">
        <f t="shared" si="83"/>
        <v>Rest of NSW</v>
      </c>
    </row>
    <row r="673" spans="1:9" x14ac:dyDescent="0.2">
      <c r="A673" s="704">
        <v>2700</v>
      </c>
      <c r="B673" s="704">
        <v>2700</v>
      </c>
      <c r="C673" s="704" t="s">
        <v>578</v>
      </c>
      <c r="D673" s="704" t="s">
        <v>530</v>
      </c>
      <c r="E673" s="704">
        <v>1</v>
      </c>
      <c r="F673" s="704">
        <v>100</v>
      </c>
      <c r="H673">
        <f t="shared" si="82"/>
        <v>2700</v>
      </c>
      <c r="I673" t="str">
        <f t="shared" si="83"/>
        <v>Rest of NSW</v>
      </c>
    </row>
    <row r="674" spans="1:9" x14ac:dyDescent="0.2">
      <c r="A674" s="704">
        <v>2701</v>
      </c>
      <c r="B674" s="704">
        <v>2701</v>
      </c>
      <c r="C674" s="704" t="s">
        <v>578</v>
      </c>
      <c r="D674" s="704" t="s">
        <v>530</v>
      </c>
      <c r="E674" s="704">
        <v>1</v>
      </c>
      <c r="F674" s="704">
        <v>100</v>
      </c>
      <c r="H674">
        <f t="shared" si="82"/>
        <v>2701</v>
      </c>
      <c r="I674" t="str">
        <f t="shared" si="83"/>
        <v>Rest of NSW</v>
      </c>
    </row>
    <row r="675" spans="1:9" x14ac:dyDescent="0.2">
      <c r="A675" s="704">
        <v>2702</v>
      </c>
      <c r="B675" s="704">
        <v>2702</v>
      </c>
      <c r="C675" s="704" t="s">
        <v>578</v>
      </c>
      <c r="D675" s="704" t="s">
        <v>530</v>
      </c>
      <c r="E675" s="704">
        <v>1</v>
      </c>
      <c r="F675" s="704">
        <v>100</v>
      </c>
      <c r="H675">
        <f t="shared" si="82"/>
        <v>2702</v>
      </c>
      <c r="I675" t="str">
        <f t="shared" si="83"/>
        <v>Rest of NSW</v>
      </c>
    </row>
    <row r="676" spans="1:9" x14ac:dyDescent="0.2">
      <c r="A676" s="704">
        <v>2703</v>
      </c>
      <c r="B676" s="704">
        <v>2703</v>
      </c>
      <c r="C676" s="704" t="s">
        <v>578</v>
      </c>
      <c r="D676" s="704" t="s">
        <v>530</v>
      </c>
      <c r="E676" s="704">
        <v>1</v>
      </c>
      <c r="F676" s="704">
        <v>100</v>
      </c>
      <c r="H676">
        <f t="shared" si="82"/>
        <v>2703</v>
      </c>
      <c r="I676" t="str">
        <f t="shared" si="83"/>
        <v>Rest of NSW</v>
      </c>
    </row>
    <row r="677" spans="1:9" x14ac:dyDescent="0.2">
      <c r="A677" s="704">
        <v>2705</v>
      </c>
      <c r="B677" s="704">
        <v>2705</v>
      </c>
      <c r="C677" s="704" t="s">
        <v>578</v>
      </c>
      <c r="D677" s="704" t="s">
        <v>530</v>
      </c>
      <c r="E677" s="704">
        <v>1</v>
      </c>
      <c r="F677" s="704">
        <v>100</v>
      </c>
      <c r="H677">
        <f t="shared" si="82"/>
        <v>2705</v>
      </c>
      <c r="I677" t="str">
        <f t="shared" si="83"/>
        <v>Rest of NSW</v>
      </c>
    </row>
    <row r="678" spans="1:9" x14ac:dyDescent="0.2">
      <c r="A678" s="704">
        <v>2706</v>
      </c>
      <c r="B678" s="704">
        <v>2706</v>
      </c>
      <c r="C678" s="704" t="s">
        <v>578</v>
      </c>
      <c r="D678" s="704" t="s">
        <v>530</v>
      </c>
      <c r="E678" s="704">
        <v>1</v>
      </c>
      <c r="F678" s="704">
        <v>100</v>
      </c>
      <c r="H678">
        <f t="shared" si="82"/>
        <v>2706</v>
      </c>
      <c r="I678" t="str">
        <f t="shared" si="83"/>
        <v>Rest of NSW</v>
      </c>
    </row>
    <row r="679" spans="1:9" x14ac:dyDescent="0.2">
      <c r="A679" s="704">
        <v>2707</v>
      </c>
      <c r="B679" s="704">
        <v>2707</v>
      </c>
      <c r="C679" s="704" t="s">
        <v>578</v>
      </c>
      <c r="D679" s="704" t="s">
        <v>530</v>
      </c>
      <c r="E679" s="704">
        <v>1</v>
      </c>
      <c r="F679" s="704">
        <v>100</v>
      </c>
      <c r="H679">
        <f t="shared" si="82"/>
        <v>2707</v>
      </c>
      <c r="I679" t="str">
        <f t="shared" si="83"/>
        <v>Rest of NSW</v>
      </c>
    </row>
    <row r="680" spans="1:9" x14ac:dyDescent="0.2">
      <c r="A680" s="704">
        <v>2710</v>
      </c>
      <c r="B680" s="704">
        <v>2710</v>
      </c>
      <c r="C680" s="704" t="s">
        <v>578</v>
      </c>
      <c r="D680" s="704" t="s">
        <v>530</v>
      </c>
      <c r="E680" s="704">
        <v>1</v>
      </c>
      <c r="F680" s="704">
        <v>100</v>
      </c>
      <c r="H680">
        <f t="shared" si="82"/>
        <v>2710</v>
      </c>
      <c r="I680" t="str">
        <f t="shared" si="83"/>
        <v>Rest of NSW</v>
      </c>
    </row>
    <row r="681" spans="1:9" x14ac:dyDescent="0.2">
      <c r="A681" s="704">
        <v>2711</v>
      </c>
      <c r="B681" s="704">
        <v>2711</v>
      </c>
      <c r="C681" s="704" t="s">
        <v>578</v>
      </c>
      <c r="D681" s="704" t="s">
        <v>530</v>
      </c>
      <c r="E681" s="704">
        <v>1</v>
      </c>
      <c r="F681" s="704">
        <v>100</v>
      </c>
      <c r="H681">
        <f t="shared" si="82"/>
        <v>2711</v>
      </c>
      <c r="I681" t="str">
        <f t="shared" si="83"/>
        <v>Rest of NSW</v>
      </c>
    </row>
    <row r="682" spans="1:9" x14ac:dyDescent="0.2">
      <c r="A682" s="704">
        <v>2712</v>
      </c>
      <c r="B682" s="704">
        <v>2712</v>
      </c>
      <c r="C682" s="704" t="s">
        <v>578</v>
      </c>
      <c r="D682" s="704" t="s">
        <v>530</v>
      </c>
      <c r="E682" s="704">
        <v>0.99991300000000005</v>
      </c>
      <c r="F682" s="704">
        <v>99.991299999999995</v>
      </c>
      <c r="H682">
        <f t="shared" si="82"/>
        <v>2712</v>
      </c>
      <c r="I682" t="str">
        <f t="shared" si="83"/>
        <v>Rest of NSW</v>
      </c>
    </row>
    <row r="683" spans="1:9" x14ac:dyDescent="0.2">
      <c r="A683" s="704">
        <v>2713</v>
      </c>
      <c r="B683" s="704">
        <v>2713</v>
      </c>
      <c r="C683" s="704" t="s">
        <v>578</v>
      </c>
      <c r="D683" s="704" t="s">
        <v>530</v>
      </c>
      <c r="E683" s="704">
        <v>1</v>
      </c>
      <c r="F683" s="704">
        <v>100</v>
      </c>
      <c r="H683">
        <f t="shared" si="82"/>
        <v>2713</v>
      </c>
      <c r="I683" t="str">
        <f t="shared" si="83"/>
        <v>Rest of NSW</v>
      </c>
    </row>
    <row r="684" spans="1:9" x14ac:dyDescent="0.2">
      <c r="A684" s="704">
        <v>2714</v>
      </c>
      <c r="B684" s="704">
        <v>2714</v>
      </c>
      <c r="C684" s="704" t="s">
        <v>578</v>
      </c>
      <c r="D684" s="704" t="s">
        <v>530</v>
      </c>
      <c r="E684" s="704">
        <v>0.99976200000000004</v>
      </c>
      <c r="F684" s="704">
        <v>99.976200000000006</v>
      </c>
      <c r="H684">
        <f t="shared" si="82"/>
        <v>2714</v>
      </c>
      <c r="I684" t="str">
        <f t="shared" si="83"/>
        <v>Rest of NSW</v>
      </c>
    </row>
    <row r="685" spans="1:9" x14ac:dyDescent="0.2">
      <c r="A685" s="704">
        <v>2714</v>
      </c>
      <c r="B685" s="704">
        <v>2714</v>
      </c>
      <c r="C685" s="704" t="s">
        <v>582</v>
      </c>
      <c r="D685" s="704" t="s">
        <v>541</v>
      </c>
      <c r="E685" s="704">
        <v>2.3809999999999999E-4</v>
      </c>
      <c r="F685" s="704">
        <v>2.3805199999999999E-2</v>
      </c>
      <c r="H685">
        <f t="shared" si="82"/>
        <v>2714</v>
      </c>
      <c r="I685" t="str">
        <f t="shared" si="83"/>
        <v>Rest of Vic.</v>
      </c>
    </row>
    <row r="686" spans="1:9" x14ac:dyDescent="0.2">
      <c r="A686" s="704">
        <v>2715</v>
      </c>
      <c r="B686" s="704">
        <v>2715</v>
      </c>
      <c r="C686" s="704" t="s">
        <v>578</v>
      </c>
      <c r="D686" s="704" t="s">
        <v>530</v>
      </c>
      <c r="E686" s="704">
        <v>0.99986200000000003</v>
      </c>
      <c r="F686" s="704">
        <v>99.986199999999997</v>
      </c>
      <c r="H686">
        <f t="shared" si="82"/>
        <v>2715</v>
      </c>
      <c r="I686" t="str">
        <f t="shared" si="83"/>
        <v>Rest of NSW</v>
      </c>
    </row>
    <row r="687" spans="1:9" x14ac:dyDescent="0.2">
      <c r="A687" s="704">
        <v>2715</v>
      </c>
      <c r="B687" s="704">
        <v>2715</v>
      </c>
      <c r="C687" s="704" t="s">
        <v>582</v>
      </c>
      <c r="D687" s="704" t="s">
        <v>541</v>
      </c>
      <c r="E687" s="704">
        <v>1.381E-4</v>
      </c>
      <c r="F687" s="704">
        <v>1.38128E-2</v>
      </c>
      <c r="H687">
        <f t="shared" si="82"/>
        <v>2715</v>
      </c>
      <c r="I687" t="str">
        <f t="shared" si="83"/>
        <v>Rest of Vic.</v>
      </c>
    </row>
    <row r="688" spans="1:9" x14ac:dyDescent="0.2">
      <c r="A688" s="704">
        <v>2716</v>
      </c>
      <c r="B688" s="704">
        <v>2716</v>
      </c>
      <c r="C688" s="704" t="s">
        <v>578</v>
      </c>
      <c r="D688" s="704" t="s">
        <v>530</v>
      </c>
      <c r="E688" s="704">
        <v>1</v>
      </c>
      <c r="F688" s="704">
        <v>100</v>
      </c>
      <c r="H688">
        <f t="shared" si="82"/>
        <v>2716</v>
      </c>
      <c r="I688" t="str">
        <f t="shared" si="83"/>
        <v>Rest of NSW</v>
      </c>
    </row>
    <row r="689" spans="1:9" x14ac:dyDescent="0.2">
      <c r="A689" s="704">
        <v>2717</v>
      </c>
      <c r="B689" s="704">
        <v>2717</v>
      </c>
      <c r="C689" s="704" t="s">
        <v>578</v>
      </c>
      <c r="D689" s="704" t="s">
        <v>530</v>
      </c>
      <c r="E689" s="704">
        <v>1</v>
      </c>
      <c r="F689" s="704">
        <v>100</v>
      </c>
      <c r="H689">
        <f t="shared" si="82"/>
        <v>2717</v>
      </c>
      <c r="I689" t="str">
        <f t="shared" si="83"/>
        <v>Rest of NSW</v>
      </c>
    </row>
    <row r="690" spans="1:9" x14ac:dyDescent="0.2">
      <c r="A690" s="704">
        <v>2720</v>
      </c>
      <c r="B690" s="704">
        <v>2720</v>
      </c>
      <c r="C690" s="704" t="s">
        <v>578</v>
      </c>
      <c r="D690" s="704" t="s">
        <v>530</v>
      </c>
      <c r="E690" s="704">
        <v>1</v>
      </c>
      <c r="F690" s="704">
        <v>100</v>
      </c>
      <c r="H690">
        <f t="shared" si="82"/>
        <v>2720</v>
      </c>
      <c r="I690" t="str">
        <f t="shared" si="83"/>
        <v>Rest of NSW</v>
      </c>
    </row>
    <row r="691" spans="1:9" x14ac:dyDescent="0.2">
      <c r="A691" s="704">
        <v>2721</v>
      </c>
      <c r="B691" s="704">
        <v>2721</v>
      </c>
      <c r="C691" s="704" t="s">
        <v>578</v>
      </c>
      <c r="D691" s="704" t="s">
        <v>530</v>
      </c>
      <c r="E691" s="704">
        <v>1</v>
      </c>
      <c r="F691" s="704">
        <v>100</v>
      </c>
      <c r="H691">
        <f t="shared" si="82"/>
        <v>2721</v>
      </c>
      <c r="I691" t="str">
        <f t="shared" si="83"/>
        <v>Rest of NSW</v>
      </c>
    </row>
    <row r="692" spans="1:9" x14ac:dyDescent="0.2">
      <c r="A692" s="704">
        <v>2722</v>
      </c>
      <c r="B692" s="704">
        <v>2722</v>
      </c>
      <c r="C692" s="704" t="s">
        <v>578</v>
      </c>
      <c r="D692" s="704" t="s">
        <v>530</v>
      </c>
      <c r="E692" s="704">
        <v>1</v>
      </c>
      <c r="F692" s="704">
        <v>100</v>
      </c>
      <c r="H692">
        <f t="shared" si="82"/>
        <v>2722</v>
      </c>
      <c r="I692" t="str">
        <f t="shared" si="83"/>
        <v>Rest of NSW</v>
      </c>
    </row>
    <row r="693" spans="1:9" x14ac:dyDescent="0.2">
      <c r="A693" s="704">
        <v>2725</v>
      </c>
      <c r="B693" s="704">
        <v>2725</v>
      </c>
      <c r="C693" s="704" t="s">
        <v>578</v>
      </c>
      <c r="D693" s="704" t="s">
        <v>530</v>
      </c>
      <c r="E693" s="704">
        <v>1</v>
      </c>
      <c r="F693" s="704">
        <v>100</v>
      </c>
      <c r="H693">
        <f t="shared" si="82"/>
        <v>2725</v>
      </c>
      <c r="I693" t="str">
        <f t="shared" si="83"/>
        <v>Rest of NSW</v>
      </c>
    </row>
    <row r="694" spans="1:9" x14ac:dyDescent="0.2">
      <c r="A694" s="704">
        <v>2726</v>
      </c>
      <c r="B694" s="704">
        <v>2726</v>
      </c>
      <c r="C694" s="704" t="s">
        <v>578</v>
      </c>
      <c r="D694" s="704" t="s">
        <v>530</v>
      </c>
      <c r="E694" s="704">
        <v>1</v>
      </c>
      <c r="F694" s="704">
        <v>100</v>
      </c>
      <c r="H694">
        <f t="shared" si="82"/>
        <v>2726</v>
      </c>
      <c r="I694" t="str">
        <f t="shared" si="83"/>
        <v>Rest of NSW</v>
      </c>
    </row>
    <row r="695" spans="1:9" x14ac:dyDescent="0.2">
      <c r="A695" s="704">
        <v>2727</v>
      </c>
      <c r="B695" s="704">
        <v>2727</v>
      </c>
      <c r="C695" s="704" t="s">
        <v>578</v>
      </c>
      <c r="D695" s="704" t="s">
        <v>530</v>
      </c>
      <c r="E695" s="704">
        <v>1</v>
      </c>
      <c r="F695" s="704">
        <v>100</v>
      </c>
      <c r="H695">
        <f t="shared" si="82"/>
        <v>2727</v>
      </c>
      <c r="I695" t="str">
        <f t="shared" si="83"/>
        <v>Rest of NSW</v>
      </c>
    </row>
    <row r="696" spans="1:9" x14ac:dyDescent="0.2">
      <c r="A696" s="704">
        <v>2729</v>
      </c>
      <c r="B696" s="704">
        <v>2729</v>
      </c>
      <c r="C696" s="704" t="s">
        <v>578</v>
      </c>
      <c r="D696" s="704" t="s">
        <v>530</v>
      </c>
      <c r="E696" s="704">
        <v>1</v>
      </c>
      <c r="F696" s="704">
        <v>100</v>
      </c>
      <c r="H696">
        <f t="shared" si="82"/>
        <v>2729</v>
      </c>
      <c r="I696" t="str">
        <f t="shared" si="83"/>
        <v>Rest of NSW</v>
      </c>
    </row>
    <row r="697" spans="1:9" x14ac:dyDescent="0.2">
      <c r="A697" s="704">
        <v>2730</v>
      </c>
      <c r="B697" s="704">
        <v>2730</v>
      </c>
      <c r="C697" s="704" t="s">
        <v>578</v>
      </c>
      <c r="D697" s="704" t="s">
        <v>530</v>
      </c>
      <c r="E697" s="704">
        <v>1</v>
      </c>
      <c r="F697" s="704">
        <v>100</v>
      </c>
      <c r="H697">
        <f t="shared" ref="H697:H760" si="84">A697*1</f>
        <v>2730</v>
      </c>
      <c r="I697" t="str">
        <f t="shared" ref="I697:I760" si="85">D697</f>
        <v>Rest of NSW</v>
      </c>
    </row>
    <row r="698" spans="1:9" x14ac:dyDescent="0.2">
      <c r="A698" s="704">
        <v>2731</v>
      </c>
      <c r="B698" s="704">
        <v>2731</v>
      </c>
      <c r="C698" s="704" t="s">
        <v>578</v>
      </c>
      <c r="D698" s="704" t="s">
        <v>530</v>
      </c>
      <c r="E698" s="704">
        <v>0.99946100000000004</v>
      </c>
      <c r="F698" s="704">
        <v>99.946100000000001</v>
      </c>
      <c r="H698">
        <f t="shared" si="84"/>
        <v>2731</v>
      </c>
      <c r="I698" t="str">
        <f t="shared" si="85"/>
        <v>Rest of NSW</v>
      </c>
    </row>
    <row r="699" spans="1:9" x14ac:dyDescent="0.2">
      <c r="A699" s="704">
        <v>2731</v>
      </c>
      <c r="B699" s="704">
        <v>2731</v>
      </c>
      <c r="C699" s="704" t="s">
        <v>582</v>
      </c>
      <c r="D699" s="704" t="s">
        <v>541</v>
      </c>
      <c r="E699" s="704">
        <v>5.3899999999999998E-4</v>
      </c>
      <c r="F699" s="704">
        <v>5.3904300000000002E-2</v>
      </c>
      <c r="H699">
        <f t="shared" si="84"/>
        <v>2731</v>
      </c>
      <c r="I699" t="str">
        <f t="shared" si="85"/>
        <v>Rest of Vic.</v>
      </c>
    </row>
    <row r="700" spans="1:9" x14ac:dyDescent="0.2">
      <c r="A700" s="704">
        <v>2732</v>
      </c>
      <c r="B700" s="704">
        <v>2732</v>
      </c>
      <c r="C700" s="704" t="s">
        <v>578</v>
      </c>
      <c r="D700" s="704" t="s">
        <v>530</v>
      </c>
      <c r="E700" s="704">
        <v>0.99814400000000003</v>
      </c>
      <c r="F700" s="704">
        <v>99.814400000000006</v>
      </c>
      <c r="H700">
        <f t="shared" si="84"/>
        <v>2732</v>
      </c>
      <c r="I700" t="str">
        <f t="shared" si="85"/>
        <v>Rest of NSW</v>
      </c>
    </row>
    <row r="701" spans="1:9" x14ac:dyDescent="0.2">
      <c r="A701" s="704">
        <v>2732</v>
      </c>
      <c r="B701" s="704">
        <v>2732</v>
      </c>
      <c r="C701" s="704" t="s">
        <v>582</v>
      </c>
      <c r="D701" s="704" t="s">
        <v>541</v>
      </c>
      <c r="E701" s="704">
        <v>1.8561999999999999E-3</v>
      </c>
      <c r="F701" s="704">
        <v>0.18562400000000001</v>
      </c>
      <c r="H701">
        <f t="shared" si="84"/>
        <v>2732</v>
      </c>
      <c r="I701" t="str">
        <f t="shared" si="85"/>
        <v>Rest of Vic.</v>
      </c>
    </row>
    <row r="702" spans="1:9" x14ac:dyDescent="0.2">
      <c r="A702" s="704">
        <v>2733</v>
      </c>
      <c r="B702" s="704">
        <v>2733</v>
      </c>
      <c r="C702" s="704" t="s">
        <v>578</v>
      </c>
      <c r="D702" s="704" t="s">
        <v>530</v>
      </c>
      <c r="E702" s="704">
        <v>1</v>
      </c>
      <c r="F702" s="704">
        <v>100</v>
      </c>
      <c r="H702">
        <f t="shared" si="84"/>
        <v>2733</v>
      </c>
      <c r="I702" t="str">
        <f t="shared" si="85"/>
        <v>Rest of NSW</v>
      </c>
    </row>
    <row r="703" spans="1:9" x14ac:dyDescent="0.2">
      <c r="A703" s="704">
        <v>2734</v>
      </c>
      <c r="B703" s="704">
        <v>2734</v>
      </c>
      <c r="C703" s="704" t="s">
        <v>578</v>
      </c>
      <c r="D703" s="704" t="s">
        <v>530</v>
      </c>
      <c r="E703" s="704">
        <v>1</v>
      </c>
      <c r="F703" s="704">
        <v>100</v>
      </c>
      <c r="H703">
        <f t="shared" si="84"/>
        <v>2734</v>
      </c>
      <c r="I703" t="str">
        <f t="shared" si="85"/>
        <v>Rest of NSW</v>
      </c>
    </row>
    <row r="704" spans="1:9" x14ac:dyDescent="0.2">
      <c r="A704" s="704">
        <v>2735</v>
      </c>
      <c r="B704" s="704">
        <v>2735</v>
      </c>
      <c r="C704" s="704" t="s">
        <v>578</v>
      </c>
      <c r="D704" s="704" t="s">
        <v>530</v>
      </c>
      <c r="E704" s="704">
        <v>0.90923299999999996</v>
      </c>
      <c r="F704" s="704">
        <v>90.923299999999998</v>
      </c>
      <c r="H704">
        <f t="shared" si="84"/>
        <v>2735</v>
      </c>
      <c r="I704" t="str">
        <f t="shared" si="85"/>
        <v>Rest of NSW</v>
      </c>
    </row>
    <row r="705" spans="1:9" x14ac:dyDescent="0.2">
      <c r="A705" s="704">
        <v>2735</v>
      </c>
      <c r="B705" s="704">
        <v>2735</v>
      </c>
      <c r="C705" s="704" t="s">
        <v>582</v>
      </c>
      <c r="D705" s="704" t="s">
        <v>541</v>
      </c>
      <c r="E705" s="704">
        <v>9.0767200000000006E-2</v>
      </c>
      <c r="F705" s="704">
        <v>9.0767199999999999</v>
      </c>
      <c r="H705">
        <f t="shared" si="84"/>
        <v>2735</v>
      </c>
      <c r="I705" t="str">
        <f t="shared" si="85"/>
        <v>Rest of Vic.</v>
      </c>
    </row>
    <row r="706" spans="1:9" x14ac:dyDescent="0.2">
      <c r="A706" s="704">
        <v>2736</v>
      </c>
      <c r="B706" s="704">
        <v>2736</v>
      </c>
      <c r="C706" s="704" t="s">
        <v>578</v>
      </c>
      <c r="D706" s="704" t="s">
        <v>530</v>
      </c>
      <c r="E706" s="704">
        <v>1</v>
      </c>
      <c r="F706" s="704">
        <v>100</v>
      </c>
      <c r="H706">
        <f t="shared" si="84"/>
        <v>2736</v>
      </c>
      <c r="I706" t="str">
        <f t="shared" si="85"/>
        <v>Rest of NSW</v>
      </c>
    </row>
    <row r="707" spans="1:9" x14ac:dyDescent="0.2">
      <c r="A707" s="704">
        <v>2737</v>
      </c>
      <c r="B707" s="704">
        <v>2737</v>
      </c>
      <c r="C707" s="704" t="s">
        <v>578</v>
      </c>
      <c r="D707" s="704" t="s">
        <v>530</v>
      </c>
      <c r="E707" s="704">
        <v>1</v>
      </c>
      <c r="F707" s="704">
        <v>100</v>
      </c>
      <c r="H707">
        <f t="shared" si="84"/>
        <v>2737</v>
      </c>
      <c r="I707" t="str">
        <f t="shared" si="85"/>
        <v>Rest of NSW</v>
      </c>
    </row>
    <row r="708" spans="1:9" x14ac:dyDescent="0.2">
      <c r="A708" s="704">
        <v>2738</v>
      </c>
      <c r="B708" s="704">
        <v>2738</v>
      </c>
      <c r="C708" s="704" t="s">
        <v>578</v>
      </c>
      <c r="D708" s="704" t="s">
        <v>530</v>
      </c>
      <c r="E708" s="704">
        <v>0.999919</v>
      </c>
      <c r="F708" s="704">
        <v>99.991900000000001</v>
      </c>
      <c r="H708">
        <f t="shared" si="84"/>
        <v>2738</v>
      </c>
      <c r="I708" t="str">
        <f t="shared" si="85"/>
        <v>Rest of NSW</v>
      </c>
    </row>
    <row r="709" spans="1:9" x14ac:dyDescent="0.2">
      <c r="A709" s="704">
        <v>2739</v>
      </c>
      <c r="B709" s="704">
        <v>2739</v>
      </c>
      <c r="C709" s="704" t="s">
        <v>578</v>
      </c>
      <c r="D709" s="704" t="s">
        <v>530</v>
      </c>
      <c r="E709" s="704">
        <v>0.997116</v>
      </c>
      <c r="F709" s="704">
        <v>99.711600000000004</v>
      </c>
      <c r="H709">
        <f t="shared" si="84"/>
        <v>2739</v>
      </c>
      <c r="I709" t="str">
        <f t="shared" si="85"/>
        <v>Rest of NSW</v>
      </c>
    </row>
    <row r="710" spans="1:9" x14ac:dyDescent="0.2">
      <c r="A710" s="704">
        <v>2739</v>
      </c>
      <c r="B710" s="704">
        <v>2739</v>
      </c>
      <c r="C710" s="704" t="s">
        <v>582</v>
      </c>
      <c r="D710" s="704" t="s">
        <v>541</v>
      </c>
      <c r="E710" s="704">
        <v>2.8842999999999998E-3</v>
      </c>
      <c r="F710" s="704">
        <v>0.28842600000000002</v>
      </c>
      <c r="H710">
        <f t="shared" si="84"/>
        <v>2739</v>
      </c>
      <c r="I710" t="str">
        <f t="shared" si="85"/>
        <v>Rest of Vic.</v>
      </c>
    </row>
    <row r="711" spans="1:9" x14ac:dyDescent="0.2">
      <c r="A711" s="704">
        <v>2745</v>
      </c>
      <c r="B711" s="704">
        <v>2745</v>
      </c>
      <c r="C711" s="704" t="s">
        <v>577</v>
      </c>
      <c r="D711" s="704" t="s">
        <v>526</v>
      </c>
      <c r="E711" s="704">
        <v>1</v>
      </c>
      <c r="F711" s="704">
        <v>100</v>
      </c>
      <c r="H711">
        <f t="shared" si="84"/>
        <v>2745</v>
      </c>
      <c r="I711" t="str">
        <f t="shared" si="85"/>
        <v>Greater Sydney</v>
      </c>
    </row>
    <row r="712" spans="1:9" x14ac:dyDescent="0.2">
      <c r="A712" s="704">
        <v>2747</v>
      </c>
      <c r="B712" s="704">
        <v>2747</v>
      </c>
      <c r="C712" s="704" t="s">
        <v>577</v>
      </c>
      <c r="D712" s="704" t="s">
        <v>526</v>
      </c>
      <c r="E712" s="704">
        <v>1</v>
      </c>
      <c r="F712" s="704">
        <v>100</v>
      </c>
      <c r="H712">
        <f t="shared" si="84"/>
        <v>2747</v>
      </c>
      <c r="I712" t="str">
        <f t="shared" si="85"/>
        <v>Greater Sydney</v>
      </c>
    </row>
    <row r="713" spans="1:9" x14ac:dyDescent="0.2">
      <c r="A713" s="704">
        <v>2748</v>
      </c>
      <c r="B713" s="704">
        <v>2748</v>
      </c>
      <c r="C713" s="704" t="s">
        <v>577</v>
      </c>
      <c r="D713" s="704" t="s">
        <v>526</v>
      </c>
      <c r="E713" s="704">
        <v>1</v>
      </c>
      <c r="F713" s="704">
        <v>100</v>
      </c>
      <c r="H713">
        <f t="shared" si="84"/>
        <v>2748</v>
      </c>
      <c r="I713" t="str">
        <f t="shared" si="85"/>
        <v>Greater Sydney</v>
      </c>
    </row>
    <row r="714" spans="1:9" x14ac:dyDescent="0.2">
      <c r="A714" s="704">
        <v>2749</v>
      </c>
      <c r="B714" s="704">
        <v>2749</v>
      </c>
      <c r="C714" s="704" t="s">
        <v>577</v>
      </c>
      <c r="D714" s="704" t="s">
        <v>526</v>
      </c>
      <c r="E714" s="704">
        <v>1</v>
      </c>
      <c r="F714" s="704">
        <v>100</v>
      </c>
      <c r="H714">
        <f t="shared" si="84"/>
        <v>2749</v>
      </c>
      <c r="I714" t="str">
        <f t="shared" si="85"/>
        <v>Greater Sydney</v>
      </c>
    </row>
    <row r="715" spans="1:9" x14ac:dyDescent="0.2">
      <c r="A715" s="704">
        <v>2750</v>
      </c>
      <c r="B715" s="704">
        <v>2750</v>
      </c>
      <c r="C715" s="704" t="s">
        <v>577</v>
      </c>
      <c r="D715" s="704" t="s">
        <v>526</v>
      </c>
      <c r="E715" s="704">
        <v>1</v>
      </c>
      <c r="F715" s="704">
        <v>100</v>
      </c>
      <c r="H715">
        <f t="shared" si="84"/>
        <v>2750</v>
      </c>
      <c r="I715" t="str">
        <f t="shared" si="85"/>
        <v>Greater Sydney</v>
      </c>
    </row>
    <row r="716" spans="1:9" x14ac:dyDescent="0.2">
      <c r="A716" s="704">
        <v>2752</v>
      </c>
      <c r="B716" s="704">
        <v>2752</v>
      </c>
      <c r="C716" s="704" t="s">
        <v>577</v>
      </c>
      <c r="D716" s="704" t="s">
        <v>526</v>
      </c>
      <c r="E716" s="704">
        <v>1</v>
      </c>
      <c r="F716" s="704">
        <v>100</v>
      </c>
      <c r="H716">
        <f t="shared" si="84"/>
        <v>2752</v>
      </c>
      <c r="I716" t="str">
        <f t="shared" si="85"/>
        <v>Greater Sydney</v>
      </c>
    </row>
    <row r="717" spans="1:9" x14ac:dyDescent="0.2">
      <c r="A717" s="704">
        <v>2753</v>
      </c>
      <c r="B717" s="704">
        <v>2753</v>
      </c>
      <c r="C717" s="704" t="s">
        <v>577</v>
      </c>
      <c r="D717" s="704" t="s">
        <v>526</v>
      </c>
      <c r="E717" s="704">
        <v>1</v>
      </c>
      <c r="F717" s="704">
        <v>100</v>
      </c>
      <c r="H717">
        <f t="shared" si="84"/>
        <v>2753</v>
      </c>
      <c r="I717" t="str">
        <f t="shared" si="85"/>
        <v>Greater Sydney</v>
      </c>
    </row>
    <row r="718" spans="1:9" x14ac:dyDescent="0.2">
      <c r="A718" s="704">
        <v>2754</v>
      </c>
      <c r="B718" s="704">
        <v>2754</v>
      </c>
      <c r="C718" s="704" t="s">
        <v>577</v>
      </c>
      <c r="D718" s="704" t="s">
        <v>526</v>
      </c>
      <c r="E718" s="704">
        <v>1</v>
      </c>
      <c r="F718" s="704">
        <v>100</v>
      </c>
      <c r="H718">
        <f t="shared" si="84"/>
        <v>2754</v>
      </c>
      <c r="I718" t="str">
        <f t="shared" si="85"/>
        <v>Greater Sydney</v>
      </c>
    </row>
    <row r="719" spans="1:9" x14ac:dyDescent="0.2">
      <c r="A719" s="704">
        <v>2755</v>
      </c>
      <c r="B719" s="704">
        <v>2755</v>
      </c>
      <c r="C719" s="704" t="s">
        <v>577</v>
      </c>
      <c r="D719" s="704" t="s">
        <v>526</v>
      </c>
      <c r="E719" s="704">
        <v>1</v>
      </c>
      <c r="F719" s="704">
        <v>100</v>
      </c>
      <c r="H719">
        <f t="shared" si="84"/>
        <v>2755</v>
      </c>
      <c r="I719" t="str">
        <f t="shared" si="85"/>
        <v>Greater Sydney</v>
      </c>
    </row>
    <row r="720" spans="1:9" x14ac:dyDescent="0.2">
      <c r="A720" s="704">
        <v>2756</v>
      </c>
      <c r="B720" s="704">
        <v>2756</v>
      </c>
      <c r="C720" s="704" t="s">
        <v>577</v>
      </c>
      <c r="D720" s="704" t="s">
        <v>526</v>
      </c>
      <c r="E720" s="704">
        <v>1</v>
      </c>
      <c r="F720" s="704">
        <v>100</v>
      </c>
      <c r="H720">
        <f t="shared" si="84"/>
        <v>2756</v>
      </c>
      <c r="I720" t="str">
        <f t="shared" si="85"/>
        <v>Greater Sydney</v>
      </c>
    </row>
    <row r="721" spans="1:9" x14ac:dyDescent="0.2">
      <c r="A721" s="704">
        <v>2757</v>
      </c>
      <c r="B721" s="704">
        <v>2757</v>
      </c>
      <c r="C721" s="704" t="s">
        <v>577</v>
      </c>
      <c r="D721" s="704" t="s">
        <v>526</v>
      </c>
      <c r="E721" s="704">
        <v>1</v>
      </c>
      <c r="F721" s="704">
        <v>100</v>
      </c>
      <c r="H721">
        <f t="shared" si="84"/>
        <v>2757</v>
      </c>
      <c r="I721" t="str">
        <f t="shared" si="85"/>
        <v>Greater Sydney</v>
      </c>
    </row>
    <row r="722" spans="1:9" x14ac:dyDescent="0.2">
      <c r="A722" s="704">
        <v>2758</v>
      </c>
      <c r="B722" s="704">
        <v>2758</v>
      </c>
      <c r="C722" s="704" t="s">
        <v>577</v>
      </c>
      <c r="D722" s="704" t="s">
        <v>526</v>
      </c>
      <c r="E722" s="704">
        <v>1</v>
      </c>
      <c r="F722" s="704">
        <v>100</v>
      </c>
      <c r="H722">
        <f t="shared" si="84"/>
        <v>2758</v>
      </c>
      <c r="I722" t="str">
        <f t="shared" si="85"/>
        <v>Greater Sydney</v>
      </c>
    </row>
    <row r="723" spans="1:9" x14ac:dyDescent="0.2">
      <c r="A723" s="704">
        <v>2759</v>
      </c>
      <c r="B723" s="704">
        <v>2759</v>
      </c>
      <c r="C723" s="704" t="s">
        <v>577</v>
      </c>
      <c r="D723" s="704" t="s">
        <v>526</v>
      </c>
      <c r="E723" s="704">
        <v>1</v>
      </c>
      <c r="F723" s="704">
        <v>100</v>
      </c>
      <c r="H723">
        <f t="shared" si="84"/>
        <v>2759</v>
      </c>
      <c r="I723" t="str">
        <f t="shared" si="85"/>
        <v>Greater Sydney</v>
      </c>
    </row>
    <row r="724" spans="1:9" x14ac:dyDescent="0.2">
      <c r="A724" s="704">
        <v>2760</v>
      </c>
      <c r="B724" s="704">
        <v>2760</v>
      </c>
      <c r="C724" s="704" t="s">
        <v>577</v>
      </c>
      <c r="D724" s="704" t="s">
        <v>526</v>
      </c>
      <c r="E724" s="704">
        <v>1</v>
      </c>
      <c r="F724" s="704">
        <v>100</v>
      </c>
      <c r="H724">
        <f t="shared" si="84"/>
        <v>2760</v>
      </c>
      <c r="I724" t="str">
        <f t="shared" si="85"/>
        <v>Greater Sydney</v>
      </c>
    </row>
    <row r="725" spans="1:9" x14ac:dyDescent="0.2">
      <c r="A725" s="704">
        <v>2761</v>
      </c>
      <c r="B725" s="704">
        <v>2761</v>
      </c>
      <c r="C725" s="704" t="s">
        <v>577</v>
      </c>
      <c r="D725" s="704" t="s">
        <v>526</v>
      </c>
      <c r="E725" s="704">
        <v>1</v>
      </c>
      <c r="F725" s="704">
        <v>100</v>
      </c>
      <c r="H725">
        <f t="shared" si="84"/>
        <v>2761</v>
      </c>
      <c r="I725" t="str">
        <f t="shared" si="85"/>
        <v>Greater Sydney</v>
      </c>
    </row>
    <row r="726" spans="1:9" x14ac:dyDescent="0.2">
      <c r="A726" s="704">
        <v>2762</v>
      </c>
      <c r="B726" s="704">
        <v>2762</v>
      </c>
      <c r="C726" s="704" t="s">
        <v>577</v>
      </c>
      <c r="D726" s="704" t="s">
        <v>526</v>
      </c>
      <c r="E726" s="704">
        <v>1</v>
      </c>
      <c r="F726" s="704">
        <v>100</v>
      </c>
      <c r="H726">
        <f t="shared" si="84"/>
        <v>2762</v>
      </c>
      <c r="I726" t="str">
        <f t="shared" si="85"/>
        <v>Greater Sydney</v>
      </c>
    </row>
    <row r="727" spans="1:9" x14ac:dyDescent="0.2">
      <c r="A727" s="704">
        <v>2763</v>
      </c>
      <c r="B727" s="704">
        <v>2763</v>
      </c>
      <c r="C727" s="704" t="s">
        <v>577</v>
      </c>
      <c r="D727" s="704" t="s">
        <v>526</v>
      </c>
      <c r="E727" s="704">
        <v>1</v>
      </c>
      <c r="F727" s="704">
        <v>100</v>
      </c>
      <c r="H727">
        <f t="shared" si="84"/>
        <v>2763</v>
      </c>
      <c r="I727" t="str">
        <f t="shared" si="85"/>
        <v>Greater Sydney</v>
      </c>
    </row>
    <row r="728" spans="1:9" x14ac:dyDescent="0.2">
      <c r="A728" s="704">
        <v>2765</v>
      </c>
      <c r="B728" s="704">
        <v>2765</v>
      </c>
      <c r="C728" s="704" t="s">
        <v>577</v>
      </c>
      <c r="D728" s="704" t="s">
        <v>526</v>
      </c>
      <c r="E728" s="704">
        <v>1</v>
      </c>
      <c r="F728" s="704">
        <v>100</v>
      </c>
      <c r="H728">
        <f t="shared" si="84"/>
        <v>2765</v>
      </c>
      <c r="I728" t="str">
        <f t="shared" si="85"/>
        <v>Greater Sydney</v>
      </c>
    </row>
    <row r="729" spans="1:9" x14ac:dyDescent="0.2">
      <c r="A729" s="704">
        <v>2766</v>
      </c>
      <c r="B729" s="704">
        <v>2766</v>
      </c>
      <c r="C729" s="704" t="s">
        <v>577</v>
      </c>
      <c r="D729" s="704" t="s">
        <v>526</v>
      </c>
      <c r="E729" s="704">
        <v>1</v>
      </c>
      <c r="F729" s="704">
        <v>100</v>
      </c>
      <c r="H729">
        <f t="shared" si="84"/>
        <v>2766</v>
      </c>
      <c r="I729" t="str">
        <f t="shared" si="85"/>
        <v>Greater Sydney</v>
      </c>
    </row>
    <row r="730" spans="1:9" x14ac:dyDescent="0.2">
      <c r="A730" s="704">
        <v>2767</v>
      </c>
      <c r="B730" s="704">
        <v>2767</v>
      </c>
      <c r="C730" s="704" t="s">
        <v>577</v>
      </c>
      <c r="D730" s="704" t="s">
        <v>526</v>
      </c>
      <c r="E730" s="704">
        <v>1</v>
      </c>
      <c r="F730" s="704">
        <v>100</v>
      </c>
      <c r="H730">
        <f t="shared" si="84"/>
        <v>2767</v>
      </c>
      <c r="I730" t="str">
        <f t="shared" si="85"/>
        <v>Greater Sydney</v>
      </c>
    </row>
    <row r="731" spans="1:9" x14ac:dyDescent="0.2">
      <c r="A731" s="704">
        <v>2768</v>
      </c>
      <c r="B731" s="704">
        <v>2768</v>
      </c>
      <c r="C731" s="704" t="s">
        <v>577</v>
      </c>
      <c r="D731" s="704" t="s">
        <v>526</v>
      </c>
      <c r="E731" s="704">
        <v>1</v>
      </c>
      <c r="F731" s="704">
        <v>100</v>
      </c>
      <c r="H731">
        <f t="shared" si="84"/>
        <v>2768</v>
      </c>
      <c r="I731" t="str">
        <f t="shared" si="85"/>
        <v>Greater Sydney</v>
      </c>
    </row>
    <row r="732" spans="1:9" x14ac:dyDescent="0.2">
      <c r="A732" s="704">
        <v>2769</v>
      </c>
      <c r="B732" s="704">
        <v>2769</v>
      </c>
      <c r="C732" s="704" t="s">
        <v>577</v>
      </c>
      <c r="D732" s="704" t="s">
        <v>526</v>
      </c>
      <c r="E732" s="704">
        <v>1</v>
      </c>
      <c r="F732" s="704">
        <v>100</v>
      </c>
      <c r="H732">
        <f t="shared" si="84"/>
        <v>2769</v>
      </c>
      <c r="I732" t="str">
        <f t="shared" si="85"/>
        <v>Greater Sydney</v>
      </c>
    </row>
    <row r="733" spans="1:9" x14ac:dyDescent="0.2">
      <c r="A733" s="704">
        <v>2770</v>
      </c>
      <c r="B733" s="704">
        <v>2770</v>
      </c>
      <c r="C733" s="704" t="s">
        <v>577</v>
      </c>
      <c r="D733" s="704" t="s">
        <v>526</v>
      </c>
      <c r="E733" s="704">
        <v>1</v>
      </c>
      <c r="F733" s="704">
        <v>100</v>
      </c>
      <c r="H733">
        <f t="shared" si="84"/>
        <v>2770</v>
      </c>
      <c r="I733" t="str">
        <f t="shared" si="85"/>
        <v>Greater Sydney</v>
      </c>
    </row>
    <row r="734" spans="1:9" x14ac:dyDescent="0.2">
      <c r="A734" s="704">
        <v>2773</v>
      </c>
      <c r="B734" s="704">
        <v>2773</v>
      </c>
      <c r="C734" s="704" t="s">
        <v>577</v>
      </c>
      <c r="D734" s="704" t="s">
        <v>526</v>
      </c>
      <c r="E734" s="704">
        <v>1</v>
      </c>
      <c r="F734" s="704">
        <v>100</v>
      </c>
      <c r="H734">
        <f t="shared" si="84"/>
        <v>2773</v>
      </c>
      <c r="I734" t="str">
        <f t="shared" si="85"/>
        <v>Greater Sydney</v>
      </c>
    </row>
    <row r="735" spans="1:9" x14ac:dyDescent="0.2">
      <c r="A735" s="704">
        <v>2774</v>
      </c>
      <c r="B735" s="704">
        <v>2774</v>
      </c>
      <c r="C735" s="704" t="s">
        <v>577</v>
      </c>
      <c r="D735" s="704" t="s">
        <v>526</v>
      </c>
      <c r="E735" s="704">
        <v>1</v>
      </c>
      <c r="F735" s="704">
        <v>100</v>
      </c>
      <c r="H735">
        <f t="shared" si="84"/>
        <v>2774</v>
      </c>
      <c r="I735" t="str">
        <f t="shared" si="85"/>
        <v>Greater Sydney</v>
      </c>
    </row>
    <row r="736" spans="1:9" x14ac:dyDescent="0.2">
      <c r="A736" s="704">
        <v>2775</v>
      </c>
      <c r="B736" s="704">
        <v>2775</v>
      </c>
      <c r="C736" s="704" t="s">
        <v>577</v>
      </c>
      <c r="D736" s="704" t="s">
        <v>526</v>
      </c>
      <c r="E736" s="704">
        <v>0.97788399999999998</v>
      </c>
      <c r="F736" s="704">
        <v>97.788399999999996</v>
      </c>
      <c r="H736">
        <f t="shared" si="84"/>
        <v>2775</v>
      </c>
      <c r="I736" t="str">
        <f t="shared" si="85"/>
        <v>Greater Sydney</v>
      </c>
    </row>
    <row r="737" spans="1:9" x14ac:dyDescent="0.2">
      <c r="A737" s="704">
        <v>2776</v>
      </c>
      <c r="B737" s="704">
        <v>2776</v>
      </c>
      <c r="C737" s="704" t="s">
        <v>577</v>
      </c>
      <c r="D737" s="704" t="s">
        <v>526</v>
      </c>
      <c r="E737" s="704">
        <v>1</v>
      </c>
      <c r="F737" s="704">
        <v>100</v>
      </c>
      <c r="H737">
        <f t="shared" si="84"/>
        <v>2776</v>
      </c>
      <c r="I737" t="str">
        <f t="shared" si="85"/>
        <v>Greater Sydney</v>
      </c>
    </row>
    <row r="738" spans="1:9" x14ac:dyDescent="0.2">
      <c r="A738" s="704">
        <v>2777</v>
      </c>
      <c r="B738" s="704">
        <v>2777</v>
      </c>
      <c r="C738" s="704" t="s">
        <v>577</v>
      </c>
      <c r="D738" s="704" t="s">
        <v>526</v>
      </c>
      <c r="E738" s="704">
        <v>1</v>
      </c>
      <c r="F738" s="704">
        <v>100</v>
      </c>
      <c r="H738">
        <f t="shared" si="84"/>
        <v>2777</v>
      </c>
      <c r="I738" t="str">
        <f t="shared" si="85"/>
        <v>Greater Sydney</v>
      </c>
    </row>
    <row r="739" spans="1:9" x14ac:dyDescent="0.2">
      <c r="A739" s="704">
        <v>2778</v>
      </c>
      <c r="B739" s="704">
        <v>2778</v>
      </c>
      <c r="C739" s="704" t="s">
        <v>577</v>
      </c>
      <c r="D739" s="704" t="s">
        <v>526</v>
      </c>
      <c r="E739" s="704">
        <v>1</v>
      </c>
      <c r="F739" s="704">
        <v>100</v>
      </c>
      <c r="H739">
        <f t="shared" si="84"/>
        <v>2778</v>
      </c>
      <c r="I739" t="str">
        <f t="shared" si="85"/>
        <v>Greater Sydney</v>
      </c>
    </row>
    <row r="740" spans="1:9" x14ac:dyDescent="0.2">
      <c r="A740" s="704">
        <v>2779</v>
      </c>
      <c r="B740" s="704">
        <v>2779</v>
      </c>
      <c r="C740" s="704" t="s">
        <v>577</v>
      </c>
      <c r="D740" s="704" t="s">
        <v>526</v>
      </c>
      <c r="E740" s="704">
        <v>1</v>
      </c>
      <c r="F740" s="704">
        <v>100</v>
      </c>
      <c r="H740">
        <f t="shared" si="84"/>
        <v>2779</v>
      </c>
      <c r="I740" t="str">
        <f t="shared" si="85"/>
        <v>Greater Sydney</v>
      </c>
    </row>
    <row r="741" spans="1:9" x14ac:dyDescent="0.2">
      <c r="A741" s="704">
        <v>2780</v>
      </c>
      <c r="B741" s="704">
        <v>2780</v>
      </c>
      <c r="C741" s="704" t="s">
        <v>577</v>
      </c>
      <c r="D741" s="704" t="s">
        <v>526</v>
      </c>
      <c r="E741" s="704">
        <v>1</v>
      </c>
      <c r="F741" s="704">
        <v>100</v>
      </c>
      <c r="H741">
        <f t="shared" si="84"/>
        <v>2780</v>
      </c>
      <c r="I741" t="str">
        <f t="shared" si="85"/>
        <v>Greater Sydney</v>
      </c>
    </row>
    <row r="742" spans="1:9" x14ac:dyDescent="0.2">
      <c r="A742" s="704">
        <v>2782</v>
      </c>
      <c r="B742" s="704">
        <v>2782</v>
      </c>
      <c r="C742" s="704" t="s">
        <v>577</v>
      </c>
      <c r="D742" s="704" t="s">
        <v>526</v>
      </c>
      <c r="E742" s="704">
        <v>1</v>
      </c>
      <c r="F742" s="704">
        <v>100</v>
      </c>
      <c r="H742">
        <f t="shared" si="84"/>
        <v>2782</v>
      </c>
      <c r="I742" t="str">
        <f t="shared" si="85"/>
        <v>Greater Sydney</v>
      </c>
    </row>
    <row r="743" spans="1:9" x14ac:dyDescent="0.2">
      <c r="A743" s="704">
        <v>2783</v>
      </c>
      <c r="B743" s="704">
        <v>2783</v>
      </c>
      <c r="C743" s="704" t="s">
        <v>577</v>
      </c>
      <c r="D743" s="704" t="s">
        <v>526</v>
      </c>
      <c r="E743" s="704">
        <v>1</v>
      </c>
      <c r="F743" s="704">
        <v>100</v>
      </c>
      <c r="H743">
        <f t="shared" si="84"/>
        <v>2783</v>
      </c>
      <c r="I743" t="str">
        <f t="shared" si="85"/>
        <v>Greater Sydney</v>
      </c>
    </row>
    <row r="744" spans="1:9" x14ac:dyDescent="0.2">
      <c r="A744" s="704">
        <v>2784</v>
      </c>
      <c r="B744" s="704">
        <v>2784</v>
      </c>
      <c r="C744" s="704" t="s">
        <v>577</v>
      </c>
      <c r="D744" s="704" t="s">
        <v>526</v>
      </c>
      <c r="E744" s="704">
        <v>1</v>
      </c>
      <c r="F744" s="704">
        <v>100</v>
      </c>
      <c r="H744">
        <f t="shared" si="84"/>
        <v>2784</v>
      </c>
      <c r="I744" t="str">
        <f t="shared" si="85"/>
        <v>Greater Sydney</v>
      </c>
    </row>
    <row r="745" spans="1:9" x14ac:dyDescent="0.2">
      <c r="A745" s="704">
        <v>2785</v>
      </c>
      <c r="B745" s="704">
        <v>2785</v>
      </c>
      <c r="C745" s="704" t="s">
        <v>577</v>
      </c>
      <c r="D745" s="704" t="s">
        <v>526</v>
      </c>
      <c r="E745" s="704">
        <v>0.99948899999999996</v>
      </c>
      <c r="F745" s="704">
        <v>99.948899999999995</v>
      </c>
      <c r="H745">
        <f t="shared" si="84"/>
        <v>2785</v>
      </c>
      <c r="I745" t="str">
        <f t="shared" si="85"/>
        <v>Greater Sydney</v>
      </c>
    </row>
    <row r="746" spans="1:9" x14ac:dyDescent="0.2">
      <c r="A746" s="704">
        <v>2785</v>
      </c>
      <c r="B746" s="704">
        <v>2785</v>
      </c>
      <c r="C746" s="704" t="s">
        <v>578</v>
      </c>
      <c r="D746" s="704" t="s">
        <v>530</v>
      </c>
      <c r="E746" s="704">
        <v>5.107E-4</v>
      </c>
      <c r="F746" s="704">
        <v>5.1066899999999998E-2</v>
      </c>
      <c r="H746">
        <f t="shared" si="84"/>
        <v>2785</v>
      </c>
      <c r="I746" t="str">
        <f t="shared" si="85"/>
        <v>Rest of NSW</v>
      </c>
    </row>
    <row r="747" spans="1:9" x14ac:dyDescent="0.2">
      <c r="A747" s="704">
        <v>2786</v>
      </c>
      <c r="B747" s="704">
        <v>2786</v>
      </c>
      <c r="C747" s="704" t="s">
        <v>577</v>
      </c>
      <c r="D747" s="704" t="s">
        <v>526</v>
      </c>
      <c r="E747" s="704">
        <v>0.91330599999999995</v>
      </c>
      <c r="F747" s="704">
        <v>91.330600000000004</v>
      </c>
      <c r="H747">
        <f t="shared" si="84"/>
        <v>2786</v>
      </c>
      <c r="I747" t="str">
        <f t="shared" si="85"/>
        <v>Greater Sydney</v>
      </c>
    </row>
    <row r="748" spans="1:9" x14ac:dyDescent="0.2">
      <c r="A748" s="704">
        <v>2786</v>
      </c>
      <c r="B748" s="704">
        <v>2786</v>
      </c>
      <c r="C748" s="704" t="s">
        <v>578</v>
      </c>
      <c r="D748" s="704" t="s">
        <v>530</v>
      </c>
      <c r="E748" s="704">
        <v>8.6693599999999996E-2</v>
      </c>
      <c r="F748" s="704">
        <v>8.6693599999999993</v>
      </c>
      <c r="H748">
        <f t="shared" si="84"/>
        <v>2786</v>
      </c>
      <c r="I748" t="str">
        <f t="shared" si="85"/>
        <v>Rest of NSW</v>
      </c>
    </row>
    <row r="749" spans="1:9" x14ac:dyDescent="0.2">
      <c r="A749" s="704">
        <v>2787</v>
      </c>
      <c r="B749" s="704">
        <v>2787</v>
      </c>
      <c r="C749" s="704" t="s">
        <v>577</v>
      </c>
      <c r="D749" s="704" t="s">
        <v>526</v>
      </c>
      <c r="E749" s="704">
        <v>1.1994700000000001E-2</v>
      </c>
      <c r="F749" s="704">
        <v>1.19947</v>
      </c>
      <c r="H749">
        <f t="shared" si="84"/>
        <v>2787</v>
      </c>
      <c r="I749" t="str">
        <f t="shared" si="85"/>
        <v>Greater Sydney</v>
      </c>
    </row>
    <row r="750" spans="1:9" x14ac:dyDescent="0.2">
      <c r="A750" s="704">
        <v>2787</v>
      </c>
      <c r="B750" s="704">
        <v>2787</v>
      </c>
      <c r="C750" s="704" t="s">
        <v>578</v>
      </c>
      <c r="D750" s="704" t="s">
        <v>530</v>
      </c>
      <c r="E750" s="704">
        <v>0.98800500000000002</v>
      </c>
      <c r="F750" s="704">
        <v>98.8005</v>
      </c>
      <c r="H750">
        <f t="shared" si="84"/>
        <v>2787</v>
      </c>
      <c r="I750" t="str">
        <f t="shared" si="85"/>
        <v>Rest of NSW</v>
      </c>
    </row>
    <row r="751" spans="1:9" x14ac:dyDescent="0.2">
      <c r="A751" s="704">
        <v>2790</v>
      </c>
      <c r="B751" s="704">
        <v>2790</v>
      </c>
      <c r="C751" s="704" t="s">
        <v>577</v>
      </c>
      <c r="D751" s="704" t="s">
        <v>526</v>
      </c>
      <c r="E751" s="704">
        <v>1.4329999999999999E-4</v>
      </c>
      <c r="F751" s="704">
        <v>1.4331099999999999E-2</v>
      </c>
      <c r="H751">
        <f t="shared" si="84"/>
        <v>2790</v>
      </c>
      <c r="I751" t="str">
        <f t="shared" si="85"/>
        <v>Greater Sydney</v>
      </c>
    </row>
    <row r="752" spans="1:9" x14ac:dyDescent="0.2">
      <c r="A752" s="704">
        <v>2790</v>
      </c>
      <c r="B752" s="704">
        <v>2790</v>
      </c>
      <c r="C752" s="704" t="s">
        <v>578</v>
      </c>
      <c r="D752" s="704" t="s">
        <v>530</v>
      </c>
      <c r="E752" s="704">
        <v>0.999857</v>
      </c>
      <c r="F752" s="704">
        <v>99.985699999999994</v>
      </c>
      <c r="H752">
        <f t="shared" si="84"/>
        <v>2790</v>
      </c>
      <c r="I752" t="str">
        <f t="shared" si="85"/>
        <v>Rest of NSW</v>
      </c>
    </row>
    <row r="753" spans="1:9" x14ac:dyDescent="0.2">
      <c r="A753" s="704">
        <v>2791</v>
      </c>
      <c r="B753" s="704">
        <v>2791</v>
      </c>
      <c r="C753" s="704" t="s">
        <v>578</v>
      </c>
      <c r="D753" s="704" t="s">
        <v>530</v>
      </c>
      <c r="E753" s="704">
        <v>1</v>
      </c>
      <c r="F753" s="704">
        <v>100</v>
      </c>
      <c r="H753">
        <f t="shared" si="84"/>
        <v>2791</v>
      </c>
      <c r="I753" t="str">
        <f t="shared" si="85"/>
        <v>Rest of NSW</v>
      </c>
    </row>
    <row r="754" spans="1:9" x14ac:dyDescent="0.2">
      <c r="A754" s="704">
        <v>2792</v>
      </c>
      <c r="B754" s="704">
        <v>2792</v>
      </c>
      <c r="C754" s="704" t="s">
        <v>578</v>
      </c>
      <c r="D754" s="704" t="s">
        <v>530</v>
      </c>
      <c r="E754" s="704">
        <v>1</v>
      </c>
      <c r="F754" s="704">
        <v>100</v>
      </c>
      <c r="H754">
        <f t="shared" si="84"/>
        <v>2792</v>
      </c>
      <c r="I754" t="str">
        <f t="shared" si="85"/>
        <v>Rest of NSW</v>
      </c>
    </row>
    <row r="755" spans="1:9" x14ac:dyDescent="0.2">
      <c r="A755" s="704">
        <v>2793</v>
      </c>
      <c r="B755" s="704">
        <v>2793</v>
      </c>
      <c r="C755" s="704" t="s">
        <v>578</v>
      </c>
      <c r="D755" s="704" t="s">
        <v>530</v>
      </c>
      <c r="E755" s="704">
        <v>1</v>
      </c>
      <c r="F755" s="704">
        <v>100</v>
      </c>
      <c r="H755">
        <f t="shared" si="84"/>
        <v>2793</v>
      </c>
      <c r="I755" t="str">
        <f t="shared" si="85"/>
        <v>Rest of NSW</v>
      </c>
    </row>
    <row r="756" spans="1:9" x14ac:dyDescent="0.2">
      <c r="A756" s="704">
        <v>2794</v>
      </c>
      <c r="B756" s="704">
        <v>2794</v>
      </c>
      <c r="C756" s="704" t="s">
        <v>578</v>
      </c>
      <c r="D756" s="704" t="s">
        <v>530</v>
      </c>
      <c r="E756" s="704">
        <v>1</v>
      </c>
      <c r="F756" s="704">
        <v>100</v>
      </c>
      <c r="H756">
        <f t="shared" si="84"/>
        <v>2794</v>
      </c>
      <c r="I756" t="str">
        <f t="shared" si="85"/>
        <v>Rest of NSW</v>
      </c>
    </row>
    <row r="757" spans="1:9" x14ac:dyDescent="0.2">
      <c r="A757" s="704">
        <v>2795</v>
      </c>
      <c r="B757" s="704">
        <v>2795</v>
      </c>
      <c r="C757" s="704" t="s">
        <v>578</v>
      </c>
      <c r="D757" s="704" t="s">
        <v>530</v>
      </c>
      <c r="E757" s="704">
        <v>1</v>
      </c>
      <c r="F757" s="704">
        <v>100</v>
      </c>
      <c r="H757">
        <f t="shared" si="84"/>
        <v>2795</v>
      </c>
      <c r="I757" t="str">
        <f t="shared" si="85"/>
        <v>Rest of NSW</v>
      </c>
    </row>
    <row r="758" spans="1:9" x14ac:dyDescent="0.2">
      <c r="A758" s="704">
        <v>2797</v>
      </c>
      <c r="B758" s="704">
        <v>2797</v>
      </c>
      <c r="C758" s="704" t="s">
        <v>578</v>
      </c>
      <c r="D758" s="704" t="s">
        <v>530</v>
      </c>
      <c r="E758" s="704">
        <v>1</v>
      </c>
      <c r="F758" s="704">
        <v>100</v>
      </c>
      <c r="H758">
        <f t="shared" si="84"/>
        <v>2797</v>
      </c>
      <c r="I758" t="str">
        <f t="shared" si="85"/>
        <v>Rest of NSW</v>
      </c>
    </row>
    <row r="759" spans="1:9" x14ac:dyDescent="0.2">
      <c r="A759" s="704">
        <v>2798</v>
      </c>
      <c r="B759" s="704">
        <v>2798</v>
      </c>
      <c r="C759" s="704" t="s">
        <v>578</v>
      </c>
      <c r="D759" s="704" t="s">
        <v>530</v>
      </c>
      <c r="E759" s="704">
        <v>1</v>
      </c>
      <c r="F759" s="704">
        <v>100</v>
      </c>
      <c r="H759">
        <f t="shared" si="84"/>
        <v>2798</v>
      </c>
      <c r="I759" t="str">
        <f t="shared" si="85"/>
        <v>Rest of NSW</v>
      </c>
    </row>
    <row r="760" spans="1:9" x14ac:dyDescent="0.2">
      <c r="A760" s="704">
        <v>2799</v>
      </c>
      <c r="B760" s="704">
        <v>2799</v>
      </c>
      <c r="C760" s="704" t="s">
        <v>578</v>
      </c>
      <c r="D760" s="704" t="s">
        <v>530</v>
      </c>
      <c r="E760" s="704">
        <v>1</v>
      </c>
      <c r="F760" s="704">
        <v>100</v>
      </c>
      <c r="H760">
        <f t="shared" si="84"/>
        <v>2799</v>
      </c>
      <c r="I760" t="str">
        <f t="shared" si="85"/>
        <v>Rest of NSW</v>
      </c>
    </row>
    <row r="761" spans="1:9" x14ac:dyDescent="0.2">
      <c r="A761" s="704">
        <v>2800</v>
      </c>
      <c r="B761" s="704">
        <v>2800</v>
      </c>
      <c r="C761" s="704" t="s">
        <v>578</v>
      </c>
      <c r="D761" s="704" t="s">
        <v>530</v>
      </c>
      <c r="E761" s="704">
        <v>1</v>
      </c>
      <c r="F761" s="704">
        <v>100</v>
      </c>
      <c r="H761">
        <f t="shared" ref="H761:H824" si="86">A761*1</f>
        <v>2800</v>
      </c>
      <c r="I761" t="str">
        <f t="shared" ref="I761:I824" si="87">D761</f>
        <v>Rest of NSW</v>
      </c>
    </row>
    <row r="762" spans="1:9" x14ac:dyDescent="0.2">
      <c r="A762" s="704">
        <v>2803</v>
      </c>
      <c r="B762" s="704">
        <v>2803</v>
      </c>
      <c r="C762" s="704" t="s">
        <v>578</v>
      </c>
      <c r="D762" s="704" t="s">
        <v>530</v>
      </c>
      <c r="E762" s="704">
        <v>1</v>
      </c>
      <c r="F762" s="704">
        <v>100</v>
      </c>
      <c r="H762">
        <f t="shared" si="86"/>
        <v>2803</v>
      </c>
      <c r="I762" t="str">
        <f t="shared" si="87"/>
        <v>Rest of NSW</v>
      </c>
    </row>
    <row r="763" spans="1:9" x14ac:dyDescent="0.2">
      <c r="A763" s="704">
        <v>2804</v>
      </c>
      <c r="B763" s="704">
        <v>2804</v>
      </c>
      <c r="C763" s="704" t="s">
        <v>578</v>
      </c>
      <c r="D763" s="704" t="s">
        <v>530</v>
      </c>
      <c r="E763" s="704">
        <v>1</v>
      </c>
      <c r="F763" s="704">
        <v>100</v>
      </c>
      <c r="H763">
        <f t="shared" si="86"/>
        <v>2804</v>
      </c>
      <c r="I763" t="str">
        <f t="shared" si="87"/>
        <v>Rest of NSW</v>
      </c>
    </row>
    <row r="764" spans="1:9" x14ac:dyDescent="0.2">
      <c r="A764" s="704">
        <v>2805</v>
      </c>
      <c r="B764" s="704">
        <v>2805</v>
      </c>
      <c r="C764" s="704" t="s">
        <v>578</v>
      </c>
      <c r="D764" s="704" t="s">
        <v>530</v>
      </c>
      <c r="E764" s="704">
        <v>1</v>
      </c>
      <c r="F764" s="704">
        <v>100</v>
      </c>
      <c r="H764">
        <f t="shared" si="86"/>
        <v>2805</v>
      </c>
      <c r="I764" t="str">
        <f t="shared" si="87"/>
        <v>Rest of NSW</v>
      </c>
    </row>
    <row r="765" spans="1:9" x14ac:dyDescent="0.2">
      <c r="A765" s="704">
        <v>2806</v>
      </c>
      <c r="B765" s="704">
        <v>2806</v>
      </c>
      <c r="C765" s="704" t="s">
        <v>578</v>
      </c>
      <c r="D765" s="704" t="s">
        <v>530</v>
      </c>
      <c r="E765" s="704">
        <v>1</v>
      </c>
      <c r="F765" s="704">
        <v>100</v>
      </c>
      <c r="H765">
        <f t="shared" si="86"/>
        <v>2806</v>
      </c>
      <c r="I765" t="str">
        <f t="shared" si="87"/>
        <v>Rest of NSW</v>
      </c>
    </row>
    <row r="766" spans="1:9" x14ac:dyDescent="0.2">
      <c r="A766" s="704">
        <v>2807</v>
      </c>
      <c r="B766" s="704">
        <v>2807</v>
      </c>
      <c r="C766" s="704" t="s">
        <v>578</v>
      </c>
      <c r="D766" s="704" t="s">
        <v>530</v>
      </c>
      <c r="E766" s="704">
        <v>1</v>
      </c>
      <c r="F766" s="704">
        <v>100</v>
      </c>
      <c r="H766">
        <f t="shared" si="86"/>
        <v>2807</v>
      </c>
      <c r="I766" t="str">
        <f t="shared" si="87"/>
        <v>Rest of NSW</v>
      </c>
    </row>
    <row r="767" spans="1:9" x14ac:dyDescent="0.2">
      <c r="A767" s="704">
        <v>2808</v>
      </c>
      <c r="B767" s="704">
        <v>2808</v>
      </c>
      <c r="C767" s="704" t="s">
        <v>578</v>
      </c>
      <c r="D767" s="704" t="s">
        <v>530</v>
      </c>
      <c r="E767" s="704">
        <v>1</v>
      </c>
      <c r="F767" s="704">
        <v>100</v>
      </c>
      <c r="H767">
        <f t="shared" si="86"/>
        <v>2808</v>
      </c>
      <c r="I767" t="str">
        <f t="shared" si="87"/>
        <v>Rest of NSW</v>
      </c>
    </row>
    <row r="768" spans="1:9" x14ac:dyDescent="0.2">
      <c r="A768" s="704">
        <v>2809</v>
      </c>
      <c r="B768" s="704">
        <v>2809</v>
      </c>
      <c r="C768" s="704" t="s">
        <v>578</v>
      </c>
      <c r="D768" s="704" t="s">
        <v>530</v>
      </c>
      <c r="E768" s="704">
        <v>1</v>
      </c>
      <c r="F768" s="704">
        <v>100</v>
      </c>
      <c r="H768">
        <f t="shared" si="86"/>
        <v>2809</v>
      </c>
      <c r="I768" t="str">
        <f t="shared" si="87"/>
        <v>Rest of NSW</v>
      </c>
    </row>
    <row r="769" spans="1:9" x14ac:dyDescent="0.2">
      <c r="A769" s="704">
        <v>2810</v>
      </c>
      <c r="B769" s="704">
        <v>2810</v>
      </c>
      <c r="C769" s="704" t="s">
        <v>578</v>
      </c>
      <c r="D769" s="704" t="s">
        <v>530</v>
      </c>
      <c r="E769" s="704">
        <v>1</v>
      </c>
      <c r="F769" s="704">
        <v>100</v>
      </c>
      <c r="H769">
        <f t="shared" si="86"/>
        <v>2810</v>
      </c>
      <c r="I769" t="str">
        <f t="shared" si="87"/>
        <v>Rest of NSW</v>
      </c>
    </row>
    <row r="770" spans="1:9" x14ac:dyDescent="0.2">
      <c r="A770" s="704">
        <v>2820</v>
      </c>
      <c r="B770" s="704">
        <v>2820</v>
      </c>
      <c r="C770" s="704" t="s">
        <v>578</v>
      </c>
      <c r="D770" s="704" t="s">
        <v>530</v>
      </c>
      <c r="E770" s="704">
        <v>1</v>
      </c>
      <c r="F770" s="704">
        <v>100</v>
      </c>
      <c r="H770">
        <f t="shared" si="86"/>
        <v>2820</v>
      </c>
      <c r="I770" t="str">
        <f t="shared" si="87"/>
        <v>Rest of NSW</v>
      </c>
    </row>
    <row r="771" spans="1:9" x14ac:dyDescent="0.2">
      <c r="A771" s="704">
        <v>2821</v>
      </c>
      <c r="B771" s="704">
        <v>2821</v>
      </c>
      <c r="C771" s="704" t="s">
        <v>578</v>
      </c>
      <c r="D771" s="704" t="s">
        <v>530</v>
      </c>
      <c r="E771" s="704">
        <v>1</v>
      </c>
      <c r="F771" s="704">
        <v>100</v>
      </c>
      <c r="H771">
        <f t="shared" si="86"/>
        <v>2821</v>
      </c>
      <c r="I771" t="str">
        <f t="shared" si="87"/>
        <v>Rest of NSW</v>
      </c>
    </row>
    <row r="772" spans="1:9" x14ac:dyDescent="0.2">
      <c r="A772" s="704">
        <v>2823</v>
      </c>
      <c r="B772" s="704">
        <v>2823</v>
      </c>
      <c r="C772" s="704" t="s">
        <v>578</v>
      </c>
      <c r="D772" s="704" t="s">
        <v>530</v>
      </c>
      <c r="E772" s="704">
        <v>1</v>
      </c>
      <c r="F772" s="704">
        <v>100</v>
      </c>
      <c r="H772">
        <f t="shared" si="86"/>
        <v>2823</v>
      </c>
      <c r="I772" t="str">
        <f t="shared" si="87"/>
        <v>Rest of NSW</v>
      </c>
    </row>
    <row r="773" spans="1:9" x14ac:dyDescent="0.2">
      <c r="A773" s="704">
        <v>2824</v>
      </c>
      <c r="B773" s="704">
        <v>2824</v>
      </c>
      <c r="C773" s="704" t="s">
        <v>578</v>
      </c>
      <c r="D773" s="704" t="s">
        <v>530</v>
      </c>
      <c r="E773" s="704">
        <v>1</v>
      </c>
      <c r="F773" s="704">
        <v>100</v>
      </c>
      <c r="H773">
        <f t="shared" si="86"/>
        <v>2824</v>
      </c>
      <c r="I773" t="str">
        <f t="shared" si="87"/>
        <v>Rest of NSW</v>
      </c>
    </row>
    <row r="774" spans="1:9" x14ac:dyDescent="0.2">
      <c r="A774" s="704">
        <v>2825</v>
      </c>
      <c r="B774" s="704">
        <v>2825</v>
      </c>
      <c r="C774" s="704" t="s">
        <v>578</v>
      </c>
      <c r="D774" s="704" t="s">
        <v>530</v>
      </c>
      <c r="E774" s="704">
        <v>1</v>
      </c>
      <c r="F774" s="704">
        <v>100</v>
      </c>
      <c r="H774">
        <f t="shared" si="86"/>
        <v>2825</v>
      </c>
      <c r="I774" t="str">
        <f t="shared" si="87"/>
        <v>Rest of NSW</v>
      </c>
    </row>
    <row r="775" spans="1:9" x14ac:dyDescent="0.2">
      <c r="A775" s="704">
        <v>2827</v>
      </c>
      <c r="B775" s="704">
        <v>2827</v>
      </c>
      <c r="C775" s="704" t="s">
        <v>578</v>
      </c>
      <c r="D775" s="704" t="s">
        <v>530</v>
      </c>
      <c r="E775" s="704">
        <v>1</v>
      </c>
      <c r="F775" s="704">
        <v>100</v>
      </c>
      <c r="H775">
        <f t="shared" si="86"/>
        <v>2827</v>
      </c>
      <c r="I775" t="str">
        <f t="shared" si="87"/>
        <v>Rest of NSW</v>
      </c>
    </row>
    <row r="776" spans="1:9" x14ac:dyDescent="0.2">
      <c r="A776" s="704">
        <v>2828</v>
      </c>
      <c r="B776" s="704">
        <v>2828</v>
      </c>
      <c r="C776" s="704" t="s">
        <v>578</v>
      </c>
      <c r="D776" s="704" t="s">
        <v>530</v>
      </c>
      <c r="E776" s="704">
        <v>1</v>
      </c>
      <c r="F776" s="704">
        <v>100</v>
      </c>
      <c r="H776">
        <f t="shared" si="86"/>
        <v>2828</v>
      </c>
      <c r="I776" t="str">
        <f t="shared" si="87"/>
        <v>Rest of NSW</v>
      </c>
    </row>
    <row r="777" spans="1:9" x14ac:dyDescent="0.2">
      <c r="A777" s="704">
        <v>2829</v>
      </c>
      <c r="B777" s="704">
        <v>2829</v>
      </c>
      <c r="C777" s="704" t="s">
        <v>578</v>
      </c>
      <c r="D777" s="704" t="s">
        <v>530</v>
      </c>
      <c r="E777" s="704">
        <v>1</v>
      </c>
      <c r="F777" s="704">
        <v>100</v>
      </c>
      <c r="H777">
        <f t="shared" si="86"/>
        <v>2829</v>
      </c>
      <c r="I777" t="str">
        <f t="shared" si="87"/>
        <v>Rest of NSW</v>
      </c>
    </row>
    <row r="778" spans="1:9" x14ac:dyDescent="0.2">
      <c r="A778" s="704">
        <v>2830</v>
      </c>
      <c r="B778" s="704">
        <v>2830</v>
      </c>
      <c r="C778" s="704" t="s">
        <v>578</v>
      </c>
      <c r="D778" s="704" t="s">
        <v>530</v>
      </c>
      <c r="E778" s="704">
        <v>1</v>
      </c>
      <c r="F778" s="704">
        <v>100</v>
      </c>
      <c r="H778">
        <f t="shared" si="86"/>
        <v>2830</v>
      </c>
      <c r="I778" t="str">
        <f t="shared" si="87"/>
        <v>Rest of NSW</v>
      </c>
    </row>
    <row r="779" spans="1:9" x14ac:dyDescent="0.2">
      <c r="A779" s="704">
        <v>2831</v>
      </c>
      <c r="B779" s="704">
        <v>2831</v>
      </c>
      <c r="C779" s="704" t="s">
        <v>578</v>
      </c>
      <c r="D779" s="704" t="s">
        <v>530</v>
      </c>
      <c r="E779" s="704">
        <v>1</v>
      </c>
      <c r="F779" s="704">
        <v>100</v>
      </c>
      <c r="H779">
        <f t="shared" si="86"/>
        <v>2831</v>
      </c>
      <c r="I779" t="str">
        <f t="shared" si="87"/>
        <v>Rest of NSW</v>
      </c>
    </row>
    <row r="780" spans="1:9" x14ac:dyDescent="0.2">
      <c r="A780" s="704">
        <v>2832</v>
      </c>
      <c r="B780" s="704">
        <v>2832</v>
      </c>
      <c r="C780" s="704" t="s">
        <v>578</v>
      </c>
      <c r="D780" s="704" t="s">
        <v>530</v>
      </c>
      <c r="E780" s="704">
        <v>1</v>
      </c>
      <c r="F780" s="704">
        <v>100</v>
      </c>
      <c r="H780">
        <f t="shared" si="86"/>
        <v>2832</v>
      </c>
      <c r="I780" t="str">
        <f t="shared" si="87"/>
        <v>Rest of NSW</v>
      </c>
    </row>
    <row r="781" spans="1:9" x14ac:dyDescent="0.2">
      <c r="A781" s="704">
        <v>2833</v>
      </c>
      <c r="B781" s="704">
        <v>2833</v>
      </c>
      <c r="C781" s="704" t="s">
        <v>578</v>
      </c>
      <c r="D781" s="704" t="s">
        <v>530</v>
      </c>
      <c r="E781" s="704">
        <v>1</v>
      </c>
      <c r="F781" s="704">
        <v>100</v>
      </c>
      <c r="H781">
        <f t="shared" si="86"/>
        <v>2833</v>
      </c>
      <c r="I781" t="str">
        <f t="shared" si="87"/>
        <v>Rest of NSW</v>
      </c>
    </row>
    <row r="782" spans="1:9" x14ac:dyDescent="0.2">
      <c r="A782" s="704">
        <v>2834</v>
      </c>
      <c r="B782" s="704">
        <v>2834</v>
      </c>
      <c r="C782" s="704" t="s">
        <v>578</v>
      </c>
      <c r="D782" s="704" t="s">
        <v>530</v>
      </c>
      <c r="E782" s="704">
        <v>1</v>
      </c>
      <c r="F782" s="704">
        <v>100</v>
      </c>
      <c r="H782">
        <f t="shared" si="86"/>
        <v>2834</v>
      </c>
      <c r="I782" t="str">
        <f t="shared" si="87"/>
        <v>Rest of NSW</v>
      </c>
    </row>
    <row r="783" spans="1:9" x14ac:dyDescent="0.2">
      <c r="A783" s="704">
        <v>2835</v>
      </c>
      <c r="B783" s="704">
        <v>2835</v>
      </c>
      <c r="C783" s="704" t="s">
        <v>578</v>
      </c>
      <c r="D783" s="704" t="s">
        <v>530</v>
      </c>
      <c r="E783" s="704">
        <v>1</v>
      </c>
      <c r="F783" s="704">
        <v>100</v>
      </c>
      <c r="H783">
        <f t="shared" si="86"/>
        <v>2835</v>
      </c>
      <c r="I783" t="str">
        <f t="shared" si="87"/>
        <v>Rest of NSW</v>
      </c>
    </row>
    <row r="784" spans="1:9" x14ac:dyDescent="0.2">
      <c r="A784" s="704">
        <v>2836</v>
      </c>
      <c r="B784" s="704">
        <v>2836</v>
      </c>
      <c r="C784" s="704" t="s">
        <v>578</v>
      </c>
      <c r="D784" s="704" t="s">
        <v>530</v>
      </c>
      <c r="E784" s="704">
        <v>1</v>
      </c>
      <c r="F784" s="704">
        <v>100</v>
      </c>
      <c r="H784">
        <f t="shared" si="86"/>
        <v>2836</v>
      </c>
      <c r="I784" t="str">
        <f t="shared" si="87"/>
        <v>Rest of NSW</v>
      </c>
    </row>
    <row r="785" spans="1:9" x14ac:dyDescent="0.2">
      <c r="A785" s="704">
        <v>2839</v>
      </c>
      <c r="B785" s="704">
        <v>2839</v>
      </c>
      <c r="C785" s="704" t="s">
        <v>578</v>
      </c>
      <c r="D785" s="704" t="s">
        <v>530</v>
      </c>
      <c r="E785" s="704">
        <v>1</v>
      </c>
      <c r="F785" s="704">
        <v>100</v>
      </c>
      <c r="H785">
        <f t="shared" si="86"/>
        <v>2839</v>
      </c>
      <c r="I785" t="str">
        <f t="shared" si="87"/>
        <v>Rest of NSW</v>
      </c>
    </row>
    <row r="786" spans="1:9" x14ac:dyDescent="0.2">
      <c r="A786" s="704">
        <v>2840</v>
      </c>
      <c r="B786" s="704">
        <v>2840</v>
      </c>
      <c r="C786" s="704" t="s">
        <v>578</v>
      </c>
      <c r="D786" s="704" t="s">
        <v>530</v>
      </c>
      <c r="E786" s="704">
        <v>1</v>
      </c>
      <c r="F786" s="704">
        <v>100</v>
      </c>
      <c r="H786">
        <f t="shared" si="86"/>
        <v>2840</v>
      </c>
      <c r="I786" t="str">
        <f t="shared" si="87"/>
        <v>Rest of NSW</v>
      </c>
    </row>
    <row r="787" spans="1:9" x14ac:dyDescent="0.2">
      <c r="A787" s="704">
        <v>2842</v>
      </c>
      <c r="B787" s="704">
        <v>2842</v>
      </c>
      <c r="C787" s="704" t="s">
        <v>578</v>
      </c>
      <c r="D787" s="704" t="s">
        <v>530</v>
      </c>
      <c r="E787" s="704">
        <v>1</v>
      </c>
      <c r="F787" s="704">
        <v>100</v>
      </c>
      <c r="H787">
        <f t="shared" si="86"/>
        <v>2842</v>
      </c>
      <c r="I787" t="str">
        <f t="shared" si="87"/>
        <v>Rest of NSW</v>
      </c>
    </row>
    <row r="788" spans="1:9" x14ac:dyDescent="0.2">
      <c r="A788" s="704">
        <v>2843</v>
      </c>
      <c r="B788" s="704">
        <v>2843</v>
      </c>
      <c r="C788" s="704" t="s">
        <v>578</v>
      </c>
      <c r="D788" s="704" t="s">
        <v>530</v>
      </c>
      <c r="E788" s="704">
        <v>1</v>
      </c>
      <c r="F788" s="704">
        <v>100</v>
      </c>
      <c r="H788">
        <f t="shared" si="86"/>
        <v>2843</v>
      </c>
      <c r="I788" t="str">
        <f t="shared" si="87"/>
        <v>Rest of NSW</v>
      </c>
    </row>
    <row r="789" spans="1:9" x14ac:dyDescent="0.2">
      <c r="A789" s="704">
        <v>2844</v>
      </c>
      <c r="B789" s="704">
        <v>2844</v>
      </c>
      <c r="C789" s="704" t="s">
        <v>578</v>
      </c>
      <c r="D789" s="704" t="s">
        <v>530</v>
      </c>
      <c r="E789" s="704">
        <v>1</v>
      </c>
      <c r="F789" s="704">
        <v>100</v>
      </c>
      <c r="H789">
        <f t="shared" si="86"/>
        <v>2844</v>
      </c>
      <c r="I789" t="str">
        <f t="shared" si="87"/>
        <v>Rest of NSW</v>
      </c>
    </row>
    <row r="790" spans="1:9" x14ac:dyDescent="0.2">
      <c r="A790" s="704">
        <v>2845</v>
      </c>
      <c r="B790" s="704">
        <v>2845</v>
      </c>
      <c r="C790" s="704" t="s">
        <v>578</v>
      </c>
      <c r="D790" s="704" t="s">
        <v>530</v>
      </c>
      <c r="E790" s="704">
        <v>1</v>
      </c>
      <c r="F790" s="704">
        <v>100</v>
      </c>
      <c r="H790">
        <f t="shared" si="86"/>
        <v>2845</v>
      </c>
      <c r="I790" t="str">
        <f t="shared" si="87"/>
        <v>Rest of NSW</v>
      </c>
    </row>
    <row r="791" spans="1:9" x14ac:dyDescent="0.2">
      <c r="A791" s="704">
        <v>2846</v>
      </c>
      <c r="B791" s="704">
        <v>2846</v>
      </c>
      <c r="C791" s="704" t="s">
        <v>578</v>
      </c>
      <c r="D791" s="704" t="s">
        <v>530</v>
      </c>
      <c r="E791" s="704">
        <v>1</v>
      </c>
      <c r="F791" s="704">
        <v>100</v>
      </c>
      <c r="H791">
        <f t="shared" si="86"/>
        <v>2846</v>
      </c>
      <c r="I791" t="str">
        <f t="shared" si="87"/>
        <v>Rest of NSW</v>
      </c>
    </row>
    <row r="792" spans="1:9" x14ac:dyDescent="0.2">
      <c r="A792" s="704">
        <v>2847</v>
      </c>
      <c r="B792" s="704">
        <v>2847</v>
      </c>
      <c r="C792" s="704" t="s">
        <v>578</v>
      </c>
      <c r="D792" s="704" t="s">
        <v>530</v>
      </c>
      <c r="E792" s="704">
        <v>1</v>
      </c>
      <c r="F792" s="704">
        <v>100</v>
      </c>
      <c r="H792">
        <f t="shared" si="86"/>
        <v>2847</v>
      </c>
      <c r="I792" t="str">
        <f t="shared" si="87"/>
        <v>Rest of NSW</v>
      </c>
    </row>
    <row r="793" spans="1:9" x14ac:dyDescent="0.2">
      <c r="A793" s="704">
        <v>2848</v>
      </c>
      <c r="B793" s="704">
        <v>2848</v>
      </c>
      <c r="C793" s="704" t="s">
        <v>578</v>
      </c>
      <c r="D793" s="704" t="s">
        <v>530</v>
      </c>
      <c r="E793" s="704">
        <v>1</v>
      </c>
      <c r="F793" s="704">
        <v>100</v>
      </c>
      <c r="H793">
        <f t="shared" si="86"/>
        <v>2848</v>
      </c>
      <c r="I793" t="str">
        <f t="shared" si="87"/>
        <v>Rest of NSW</v>
      </c>
    </row>
    <row r="794" spans="1:9" x14ac:dyDescent="0.2">
      <c r="A794" s="704">
        <v>2849</v>
      </c>
      <c r="B794" s="704">
        <v>2849</v>
      </c>
      <c r="C794" s="704" t="s">
        <v>578</v>
      </c>
      <c r="D794" s="704" t="s">
        <v>530</v>
      </c>
      <c r="E794" s="704">
        <v>1</v>
      </c>
      <c r="F794" s="704">
        <v>100</v>
      </c>
      <c r="H794">
        <f t="shared" si="86"/>
        <v>2849</v>
      </c>
      <c r="I794" t="str">
        <f t="shared" si="87"/>
        <v>Rest of NSW</v>
      </c>
    </row>
    <row r="795" spans="1:9" x14ac:dyDescent="0.2">
      <c r="A795" s="704">
        <v>2850</v>
      </c>
      <c r="B795" s="704">
        <v>2850</v>
      </c>
      <c r="C795" s="704" t="s">
        <v>578</v>
      </c>
      <c r="D795" s="704" t="s">
        <v>530</v>
      </c>
      <c r="E795" s="704">
        <v>1</v>
      </c>
      <c r="F795" s="704">
        <v>100</v>
      </c>
      <c r="H795">
        <f t="shared" si="86"/>
        <v>2850</v>
      </c>
      <c r="I795" t="str">
        <f t="shared" si="87"/>
        <v>Rest of NSW</v>
      </c>
    </row>
    <row r="796" spans="1:9" x14ac:dyDescent="0.2">
      <c r="A796" s="704">
        <v>2852</v>
      </c>
      <c r="B796" s="704">
        <v>2852</v>
      </c>
      <c r="C796" s="704" t="s">
        <v>578</v>
      </c>
      <c r="D796" s="704" t="s">
        <v>530</v>
      </c>
      <c r="E796" s="704">
        <v>1</v>
      </c>
      <c r="F796" s="704">
        <v>100</v>
      </c>
      <c r="H796">
        <f t="shared" si="86"/>
        <v>2852</v>
      </c>
      <c r="I796" t="str">
        <f t="shared" si="87"/>
        <v>Rest of NSW</v>
      </c>
    </row>
    <row r="797" spans="1:9" x14ac:dyDescent="0.2">
      <c r="A797" s="704">
        <v>2864</v>
      </c>
      <c r="B797" s="704">
        <v>2864</v>
      </c>
      <c r="C797" s="704" t="s">
        <v>578</v>
      </c>
      <c r="D797" s="704" t="s">
        <v>530</v>
      </c>
      <c r="E797" s="704">
        <v>1</v>
      </c>
      <c r="F797" s="704">
        <v>100</v>
      </c>
      <c r="H797">
        <f t="shared" si="86"/>
        <v>2864</v>
      </c>
      <c r="I797" t="str">
        <f t="shared" si="87"/>
        <v>Rest of NSW</v>
      </c>
    </row>
    <row r="798" spans="1:9" x14ac:dyDescent="0.2">
      <c r="A798" s="704">
        <v>2865</v>
      </c>
      <c r="B798" s="704">
        <v>2865</v>
      </c>
      <c r="C798" s="704" t="s">
        <v>578</v>
      </c>
      <c r="D798" s="704" t="s">
        <v>530</v>
      </c>
      <c r="E798" s="704">
        <v>1</v>
      </c>
      <c r="F798" s="704">
        <v>100</v>
      </c>
      <c r="H798">
        <f t="shared" si="86"/>
        <v>2865</v>
      </c>
      <c r="I798" t="str">
        <f t="shared" si="87"/>
        <v>Rest of NSW</v>
      </c>
    </row>
    <row r="799" spans="1:9" x14ac:dyDescent="0.2">
      <c r="A799" s="704">
        <v>2866</v>
      </c>
      <c r="B799" s="704">
        <v>2866</v>
      </c>
      <c r="C799" s="704" t="s">
        <v>578</v>
      </c>
      <c r="D799" s="704" t="s">
        <v>530</v>
      </c>
      <c r="E799" s="704">
        <v>1</v>
      </c>
      <c r="F799" s="704">
        <v>100</v>
      </c>
      <c r="H799">
        <f t="shared" si="86"/>
        <v>2866</v>
      </c>
      <c r="I799" t="str">
        <f t="shared" si="87"/>
        <v>Rest of NSW</v>
      </c>
    </row>
    <row r="800" spans="1:9" x14ac:dyDescent="0.2">
      <c r="A800" s="704">
        <v>2867</v>
      </c>
      <c r="B800" s="704">
        <v>2867</v>
      </c>
      <c r="C800" s="704" t="s">
        <v>578</v>
      </c>
      <c r="D800" s="704" t="s">
        <v>530</v>
      </c>
      <c r="E800" s="704">
        <v>1</v>
      </c>
      <c r="F800" s="704">
        <v>100</v>
      </c>
      <c r="H800">
        <f t="shared" si="86"/>
        <v>2867</v>
      </c>
      <c r="I800" t="str">
        <f t="shared" si="87"/>
        <v>Rest of NSW</v>
      </c>
    </row>
    <row r="801" spans="1:9" x14ac:dyDescent="0.2">
      <c r="A801" s="704">
        <v>2868</v>
      </c>
      <c r="B801" s="704">
        <v>2868</v>
      </c>
      <c r="C801" s="704" t="s">
        <v>578</v>
      </c>
      <c r="D801" s="704" t="s">
        <v>530</v>
      </c>
      <c r="E801" s="704">
        <v>1</v>
      </c>
      <c r="F801" s="704">
        <v>100</v>
      </c>
      <c r="H801">
        <f t="shared" si="86"/>
        <v>2868</v>
      </c>
      <c r="I801" t="str">
        <f t="shared" si="87"/>
        <v>Rest of NSW</v>
      </c>
    </row>
    <row r="802" spans="1:9" x14ac:dyDescent="0.2">
      <c r="A802" s="704">
        <v>2869</v>
      </c>
      <c r="B802" s="704">
        <v>2869</v>
      </c>
      <c r="C802" s="704" t="s">
        <v>578</v>
      </c>
      <c r="D802" s="704" t="s">
        <v>530</v>
      </c>
      <c r="E802" s="704">
        <v>1</v>
      </c>
      <c r="F802" s="704">
        <v>100</v>
      </c>
      <c r="H802">
        <f t="shared" si="86"/>
        <v>2869</v>
      </c>
      <c r="I802" t="str">
        <f t="shared" si="87"/>
        <v>Rest of NSW</v>
      </c>
    </row>
    <row r="803" spans="1:9" x14ac:dyDescent="0.2">
      <c r="A803" s="704">
        <v>2870</v>
      </c>
      <c r="B803" s="704">
        <v>2870</v>
      </c>
      <c r="C803" s="704" t="s">
        <v>578</v>
      </c>
      <c r="D803" s="704" t="s">
        <v>530</v>
      </c>
      <c r="E803" s="704">
        <v>1</v>
      </c>
      <c r="F803" s="704">
        <v>100</v>
      </c>
      <c r="H803">
        <f t="shared" si="86"/>
        <v>2870</v>
      </c>
      <c r="I803" t="str">
        <f t="shared" si="87"/>
        <v>Rest of NSW</v>
      </c>
    </row>
    <row r="804" spans="1:9" x14ac:dyDescent="0.2">
      <c r="A804" s="704">
        <v>2871</v>
      </c>
      <c r="B804" s="704">
        <v>2871</v>
      </c>
      <c r="C804" s="704" t="s">
        <v>578</v>
      </c>
      <c r="D804" s="704" t="s">
        <v>530</v>
      </c>
      <c r="E804" s="704">
        <v>1</v>
      </c>
      <c r="F804" s="704">
        <v>100</v>
      </c>
      <c r="H804">
        <f t="shared" si="86"/>
        <v>2871</v>
      </c>
      <c r="I804" t="str">
        <f t="shared" si="87"/>
        <v>Rest of NSW</v>
      </c>
    </row>
    <row r="805" spans="1:9" x14ac:dyDescent="0.2">
      <c r="A805" s="704">
        <v>2873</v>
      </c>
      <c r="B805" s="704">
        <v>2873</v>
      </c>
      <c r="C805" s="704" t="s">
        <v>578</v>
      </c>
      <c r="D805" s="704" t="s">
        <v>530</v>
      </c>
      <c r="E805" s="704">
        <v>1</v>
      </c>
      <c r="F805" s="704">
        <v>100</v>
      </c>
      <c r="H805">
        <f t="shared" si="86"/>
        <v>2873</v>
      </c>
      <c r="I805" t="str">
        <f t="shared" si="87"/>
        <v>Rest of NSW</v>
      </c>
    </row>
    <row r="806" spans="1:9" x14ac:dyDescent="0.2">
      <c r="A806" s="704">
        <v>2874</v>
      </c>
      <c r="B806" s="704">
        <v>2874</v>
      </c>
      <c r="C806" s="704" t="s">
        <v>578</v>
      </c>
      <c r="D806" s="704" t="s">
        <v>530</v>
      </c>
      <c r="E806" s="704">
        <v>1</v>
      </c>
      <c r="F806" s="704">
        <v>100</v>
      </c>
      <c r="H806">
        <f t="shared" si="86"/>
        <v>2874</v>
      </c>
      <c r="I806" t="str">
        <f t="shared" si="87"/>
        <v>Rest of NSW</v>
      </c>
    </row>
    <row r="807" spans="1:9" x14ac:dyDescent="0.2">
      <c r="A807" s="704">
        <v>2875</v>
      </c>
      <c r="B807" s="704">
        <v>2875</v>
      </c>
      <c r="C807" s="704" t="s">
        <v>578</v>
      </c>
      <c r="D807" s="704" t="s">
        <v>530</v>
      </c>
      <c r="E807" s="704">
        <v>1</v>
      </c>
      <c r="F807" s="704">
        <v>100</v>
      </c>
      <c r="H807">
        <f t="shared" si="86"/>
        <v>2875</v>
      </c>
      <c r="I807" t="str">
        <f t="shared" si="87"/>
        <v>Rest of NSW</v>
      </c>
    </row>
    <row r="808" spans="1:9" x14ac:dyDescent="0.2">
      <c r="A808" s="704">
        <v>2876</v>
      </c>
      <c r="B808" s="704">
        <v>2876</v>
      </c>
      <c r="C808" s="704" t="s">
        <v>578</v>
      </c>
      <c r="D808" s="704" t="s">
        <v>530</v>
      </c>
      <c r="E808" s="704">
        <v>1</v>
      </c>
      <c r="F808" s="704">
        <v>100</v>
      </c>
      <c r="H808">
        <f t="shared" si="86"/>
        <v>2876</v>
      </c>
      <c r="I808" t="str">
        <f t="shared" si="87"/>
        <v>Rest of NSW</v>
      </c>
    </row>
    <row r="809" spans="1:9" x14ac:dyDescent="0.2">
      <c r="A809" s="704">
        <v>2877</v>
      </c>
      <c r="B809" s="704">
        <v>2877</v>
      </c>
      <c r="C809" s="704" t="s">
        <v>578</v>
      </c>
      <c r="D809" s="704" t="s">
        <v>530</v>
      </c>
      <c r="E809" s="704">
        <v>1</v>
      </c>
      <c r="F809" s="704">
        <v>100</v>
      </c>
      <c r="H809">
        <f t="shared" si="86"/>
        <v>2877</v>
      </c>
      <c r="I809" t="str">
        <f t="shared" si="87"/>
        <v>Rest of NSW</v>
      </c>
    </row>
    <row r="810" spans="1:9" x14ac:dyDescent="0.2">
      <c r="A810" s="704">
        <v>2878</v>
      </c>
      <c r="B810" s="704">
        <v>2878</v>
      </c>
      <c r="C810" s="704" t="s">
        <v>578</v>
      </c>
      <c r="D810" s="704" t="s">
        <v>530</v>
      </c>
      <c r="E810" s="704">
        <v>1</v>
      </c>
      <c r="F810" s="704">
        <v>100</v>
      </c>
      <c r="H810">
        <f t="shared" si="86"/>
        <v>2878</v>
      </c>
      <c r="I810" t="str">
        <f t="shared" si="87"/>
        <v>Rest of NSW</v>
      </c>
    </row>
    <row r="811" spans="1:9" x14ac:dyDescent="0.2">
      <c r="A811" s="704">
        <v>2879</v>
      </c>
      <c r="B811" s="704">
        <v>2879</v>
      </c>
      <c r="C811" s="704" t="s">
        <v>578</v>
      </c>
      <c r="D811" s="704" t="s">
        <v>530</v>
      </c>
      <c r="E811" s="704">
        <v>1</v>
      </c>
      <c r="F811" s="704">
        <v>100</v>
      </c>
      <c r="H811">
        <f t="shared" si="86"/>
        <v>2879</v>
      </c>
      <c r="I811" t="str">
        <f t="shared" si="87"/>
        <v>Rest of NSW</v>
      </c>
    </row>
    <row r="812" spans="1:9" x14ac:dyDescent="0.2">
      <c r="A812" s="704">
        <v>2880</v>
      </c>
      <c r="B812" s="704">
        <v>2880</v>
      </c>
      <c r="C812" s="704" t="s">
        <v>578</v>
      </c>
      <c r="D812" s="704" t="s">
        <v>530</v>
      </c>
      <c r="E812" s="704">
        <v>1</v>
      </c>
      <c r="F812" s="704">
        <v>100</v>
      </c>
      <c r="H812">
        <f t="shared" si="86"/>
        <v>2880</v>
      </c>
      <c r="I812" t="str">
        <f t="shared" si="87"/>
        <v>Rest of NSW</v>
      </c>
    </row>
    <row r="813" spans="1:9" x14ac:dyDescent="0.2">
      <c r="A813" s="704">
        <v>2898</v>
      </c>
      <c r="B813" s="704">
        <v>2898</v>
      </c>
      <c r="C813" s="704" t="s">
        <v>578</v>
      </c>
      <c r="D813" s="704" t="s">
        <v>530</v>
      </c>
      <c r="E813" s="704">
        <v>1</v>
      </c>
      <c r="F813" s="704">
        <v>100</v>
      </c>
      <c r="H813">
        <f t="shared" si="86"/>
        <v>2898</v>
      </c>
      <c r="I813" t="str">
        <f t="shared" si="87"/>
        <v>Rest of NSW</v>
      </c>
    </row>
    <row r="814" spans="1:9" x14ac:dyDescent="0.2">
      <c r="A814" s="704">
        <v>2900</v>
      </c>
      <c r="B814" s="704">
        <v>2900</v>
      </c>
      <c r="C814" s="704" t="s">
        <v>578</v>
      </c>
      <c r="D814" s="704" t="s">
        <v>530</v>
      </c>
      <c r="E814" s="704">
        <v>2.6987000000000001E-3</v>
      </c>
      <c r="F814" s="704">
        <v>0.26987100000000003</v>
      </c>
      <c r="H814">
        <f t="shared" si="86"/>
        <v>2900</v>
      </c>
      <c r="I814" t="str">
        <f t="shared" si="87"/>
        <v>Rest of NSW</v>
      </c>
    </row>
    <row r="815" spans="1:9" x14ac:dyDescent="0.2">
      <c r="A815" s="704">
        <v>2900</v>
      </c>
      <c r="B815" s="704">
        <v>2900</v>
      </c>
      <c r="C815" s="704" t="s">
        <v>581</v>
      </c>
      <c r="D815" s="704" t="s">
        <v>539</v>
      </c>
      <c r="E815" s="704">
        <v>0.99730099999999999</v>
      </c>
      <c r="F815" s="704">
        <v>99.730099999999993</v>
      </c>
      <c r="H815">
        <f t="shared" si="86"/>
        <v>2900</v>
      </c>
      <c r="I815" t="str">
        <f t="shared" si="87"/>
        <v>Australian Capital Territory</v>
      </c>
    </row>
    <row r="816" spans="1:9" x14ac:dyDescent="0.2">
      <c r="A816" s="704">
        <v>2902</v>
      </c>
      <c r="B816" s="704">
        <v>2902</v>
      </c>
      <c r="C816" s="704" t="s">
        <v>581</v>
      </c>
      <c r="D816" s="704" t="s">
        <v>539</v>
      </c>
      <c r="E816" s="704">
        <v>1</v>
      </c>
      <c r="F816" s="704">
        <v>100</v>
      </c>
      <c r="H816">
        <f t="shared" si="86"/>
        <v>2902</v>
      </c>
      <c r="I816" t="str">
        <f t="shared" si="87"/>
        <v>Australian Capital Territory</v>
      </c>
    </row>
    <row r="817" spans="1:9" x14ac:dyDescent="0.2">
      <c r="A817" s="704">
        <v>2903</v>
      </c>
      <c r="B817" s="704">
        <v>2903</v>
      </c>
      <c r="C817" s="704" t="s">
        <v>581</v>
      </c>
      <c r="D817" s="704" t="s">
        <v>539</v>
      </c>
      <c r="E817" s="704">
        <v>1</v>
      </c>
      <c r="F817" s="704">
        <v>100</v>
      </c>
      <c r="H817">
        <f t="shared" si="86"/>
        <v>2903</v>
      </c>
      <c r="I817" t="str">
        <f t="shared" si="87"/>
        <v>Australian Capital Territory</v>
      </c>
    </row>
    <row r="818" spans="1:9" x14ac:dyDescent="0.2">
      <c r="A818" s="704">
        <v>2904</v>
      </c>
      <c r="B818" s="704">
        <v>2904</v>
      </c>
      <c r="C818" s="704" t="s">
        <v>581</v>
      </c>
      <c r="D818" s="704" t="s">
        <v>539</v>
      </c>
      <c r="E818" s="704">
        <v>1</v>
      </c>
      <c r="F818" s="704">
        <v>100</v>
      </c>
      <c r="H818">
        <f t="shared" si="86"/>
        <v>2904</v>
      </c>
      <c r="I818" t="str">
        <f t="shared" si="87"/>
        <v>Australian Capital Territory</v>
      </c>
    </row>
    <row r="819" spans="1:9" x14ac:dyDescent="0.2">
      <c r="A819" s="704">
        <v>2905</v>
      </c>
      <c r="B819" s="704">
        <v>2905</v>
      </c>
      <c r="C819" s="704" t="s">
        <v>581</v>
      </c>
      <c r="D819" s="704" t="s">
        <v>539</v>
      </c>
      <c r="E819" s="704">
        <v>1</v>
      </c>
      <c r="F819" s="704">
        <v>100</v>
      </c>
      <c r="H819">
        <f t="shared" si="86"/>
        <v>2905</v>
      </c>
      <c r="I819" t="str">
        <f t="shared" si="87"/>
        <v>Australian Capital Territory</v>
      </c>
    </row>
    <row r="820" spans="1:9" x14ac:dyDescent="0.2">
      <c r="A820" s="704">
        <v>2906</v>
      </c>
      <c r="B820" s="704">
        <v>2906</v>
      </c>
      <c r="C820" s="704" t="s">
        <v>581</v>
      </c>
      <c r="D820" s="704" t="s">
        <v>539</v>
      </c>
      <c r="E820" s="704">
        <v>1</v>
      </c>
      <c r="F820" s="704">
        <v>100</v>
      </c>
      <c r="H820">
        <f t="shared" si="86"/>
        <v>2906</v>
      </c>
      <c r="I820" t="str">
        <f t="shared" si="87"/>
        <v>Australian Capital Territory</v>
      </c>
    </row>
    <row r="821" spans="1:9" x14ac:dyDescent="0.2">
      <c r="A821" s="704">
        <v>2911</v>
      </c>
      <c r="B821" s="704">
        <v>2911</v>
      </c>
      <c r="C821" s="704" t="s">
        <v>581</v>
      </c>
      <c r="D821" s="704" t="s">
        <v>539</v>
      </c>
      <c r="E821" s="704">
        <v>1</v>
      </c>
      <c r="F821" s="704">
        <v>100</v>
      </c>
      <c r="H821">
        <f t="shared" si="86"/>
        <v>2911</v>
      </c>
      <c r="I821" t="str">
        <f t="shared" si="87"/>
        <v>Australian Capital Territory</v>
      </c>
    </row>
    <row r="822" spans="1:9" x14ac:dyDescent="0.2">
      <c r="A822" s="704">
        <v>2912</v>
      </c>
      <c r="B822" s="704">
        <v>2912</v>
      </c>
      <c r="C822" s="704" t="s">
        <v>578</v>
      </c>
      <c r="D822" s="704" t="s">
        <v>530</v>
      </c>
      <c r="E822" s="704">
        <v>1.7029999999999999E-4</v>
      </c>
      <c r="F822" s="704">
        <v>1.7027899999999999E-2</v>
      </c>
      <c r="H822">
        <f t="shared" si="86"/>
        <v>2912</v>
      </c>
      <c r="I822" t="str">
        <f t="shared" si="87"/>
        <v>Rest of NSW</v>
      </c>
    </row>
    <row r="823" spans="1:9" x14ac:dyDescent="0.2">
      <c r="A823" s="704">
        <v>2912</v>
      </c>
      <c r="B823" s="704">
        <v>2912</v>
      </c>
      <c r="C823" s="704" t="s">
        <v>581</v>
      </c>
      <c r="D823" s="704" t="s">
        <v>539</v>
      </c>
      <c r="E823" s="704">
        <v>0.99983</v>
      </c>
      <c r="F823" s="704">
        <v>99.983000000000004</v>
      </c>
      <c r="H823">
        <f t="shared" si="86"/>
        <v>2912</v>
      </c>
      <c r="I823" t="str">
        <f t="shared" si="87"/>
        <v>Australian Capital Territory</v>
      </c>
    </row>
    <row r="824" spans="1:9" x14ac:dyDescent="0.2">
      <c r="A824" s="704">
        <v>2913</v>
      </c>
      <c r="B824" s="704">
        <v>2913</v>
      </c>
      <c r="C824" s="704" t="s">
        <v>581</v>
      </c>
      <c r="D824" s="704" t="s">
        <v>539</v>
      </c>
      <c r="E824" s="704">
        <v>1</v>
      </c>
      <c r="F824" s="704">
        <v>100</v>
      </c>
      <c r="H824">
        <f t="shared" si="86"/>
        <v>2913</v>
      </c>
      <c r="I824" t="str">
        <f t="shared" si="87"/>
        <v>Australian Capital Territory</v>
      </c>
    </row>
    <row r="825" spans="1:9" x14ac:dyDescent="0.2">
      <c r="A825" s="704">
        <v>2914</v>
      </c>
      <c r="B825" s="704">
        <v>2914</v>
      </c>
      <c r="C825" s="704" t="s">
        <v>581</v>
      </c>
      <c r="D825" s="704" t="s">
        <v>539</v>
      </c>
      <c r="E825" s="704">
        <v>1</v>
      </c>
      <c r="F825" s="704">
        <v>100</v>
      </c>
      <c r="H825">
        <f t="shared" ref="H825:H888" si="88">A825*1</f>
        <v>2914</v>
      </c>
      <c r="I825" t="str">
        <f t="shared" ref="I825:I888" si="89">D825</f>
        <v>Australian Capital Territory</v>
      </c>
    </row>
    <row r="826" spans="1:9" x14ac:dyDescent="0.2">
      <c r="A826" s="704">
        <v>3000</v>
      </c>
      <c r="B826" s="704">
        <v>3000</v>
      </c>
      <c r="C826" s="704" t="s">
        <v>583</v>
      </c>
      <c r="D826" s="704" t="s">
        <v>544</v>
      </c>
      <c r="E826" s="704">
        <v>1</v>
      </c>
      <c r="F826" s="704">
        <v>100</v>
      </c>
      <c r="H826">
        <f t="shared" si="88"/>
        <v>3000</v>
      </c>
      <c r="I826" t="str">
        <f t="shared" si="89"/>
        <v>Greater Melbourne</v>
      </c>
    </row>
    <row r="827" spans="1:9" x14ac:dyDescent="0.2">
      <c r="A827" s="704">
        <v>3002</v>
      </c>
      <c r="B827" s="704">
        <v>3002</v>
      </c>
      <c r="C827" s="704" t="s">
        <v>583</v>
      </c>
      <c r="D827" s="704" t="s">
        <v>544</v>
      </c>
      <c r="E827" s="704">
        <v>1</v>
      </c>
      <c r="F827" s="704">
        <v>100</v>
      </c>
      <c r="H827">
        <f t="shared" si="88"/>
        <v>3002</v>
      </c>
      <c r="I827" t="str">
        <f t="shared" si="89"/>
        <v>Greater Melbourne</v>
      </c>
    </row>
    <row r="828" spans="1:9" x14ac:dyDescent="0.2">
      <c r="A828" s="704">
        <v>3003</v>
      </c>
      <c r="B828" s="704">
        <v>3003</v>
      </c>
      <c r="C828" s="704" t="s">
        <v>583</v>
      </c>
      <c r="D828" s="704" t="s">
        <v>544</v>
      </c>
      <c r="E828" s="704">
        <v>1</v>
      </c>
      <c r="F828" s="704">
        <v>100</v>
      </c>
      <c r="H828">
        <f t="shared" si="88"/>
        <v>3003</v>
      </c>
      <c r="I828" t="str">
        <f t="shared" si="89"/>
        <v>Greater Melbourne</v>
      </c>
    </row>
    <row r="829" spans="1:9" x14ac:dyDescent="0.2">
      <c r="A829" s="704">
        <v>3004</v>
      </c>
      <c r="B829" s="704">
        <v>3004</v>
      </c>
      <c r="C829" s="704" t="s">
        <v>583</v>
      </c>
      <c r="D829" s="704" t="s">
        <v>544</v>
      </c>
      <c r="E829" s="704">
        <v>1</v>
      </c>
      <c r="F829" s="704">
        <v>100</v>
      </c>
      <c r="H829">
        <f t="shared" si="88"/>
        <v>3004</v>
      </c>
      <c r="I829" t="str">
        <f t="shared" si="89"/>
        <v>Greater Melbourne</v>
      </c>
    </row>
    <row r="830" spans="1:9" x14ac:dyDescent="0.2">
      <c r="A830" s="704">
        <v>3005</v>
      </c>
      <c r="B830" s="704">
        <v>3005</v>
      </c>
      <c r="C830" s="704" t="s">
        <v>583</v>
      </c>
      <c r="D830" s="704" t="s">
        <v>544</v>
      </c>
      <c r="E830" s="704">
        <v>1</v>
      </c>
      <c r="F830" s="704">
        <v>100</v>
      </c>
      <c r="H830">
        <f t="shared" si="88"/>
        <v>3005</v>
      </c>
      <c r="I830" t="str">
        <f t="shared" si="89"/>
        <v>Greater Melbourne</v>
      </c>
    </row>
    <row r="831" spans="1:9" x14ac:dyDescent="0.2">
      <c r="A831" s="704">
        <v>3006</v>
      </c>
      <c r="B831" s="704">
        <v>3006</v>
      </c>
      <c r="C831" s="704" t="s">
        <v>583</v>
      </c>
      <c r="D831" s="704" t="s">
        <v>544</v>
      </c>
      <c r="E831" s="704">
        <v>1</v>
      </c>
      <c r="F831" s="704">
        <v>100</v>
      </c>
      <c r="H831">
        <f t="shared" si="88"/>
        <v>3006</v>
      </c>
      <c r="I831" t="str">
        <f t="shared" si="89"/>
        <v>Greater Melbourne</v>
      </c>
    </row>
    <row r="832" spans="1:9" x14ac:dyDescent="0.2">
      <c r="A832" s="704">
        <v>3008</v>
      </c>
      <c r="B832" s="704">
        <v>3008</v>
      </c>
      <c r="C832" s="704" t="s">
        <v>583</v>
      </c>
      <c r="D832" s="704" t="s">
        <v>544</v>
      </c>
      <c r="E832" s="704">
        <v>1</v>
      </c>
      <c r="F832" s="704">
        <v>100</v>
      </c>
      <c r="H832">
        <f t="shared" si="88"/>
        <v>3008</v>
      </c>
      <c r="I832" t="str">
        <f t="shared" si="89"/>
        <v>Greater Melbourne</v>
      </c>
    </row>
    <row r="833" spans="1:9" x14ac:dyDescent="0.2">
      <c r="A833" s="704">
        <v>3010</v>
      </c>
      <c r="B833" s="704">
        <v>3010</v>
      </c>
      <c r="C833" s="704" t="s">
        <v>583</v>
      </c>
      <c r="D833" s="704" t="s">
        <v>544</v>
      </c>
      <c r="E833" s="704">
        <v>1</v>
      </c>
      <c r="F833" s="704">
        <v>100</v>
      </c>
      <c r="H833">
        <f t="shared" si="88"/>
        <v>3010</v>
      </c>
      <c r="I833" t="str">
        <f t="shared" si="89"/>
        <v>Greater Melbourne</v>
      </c>
    </row>
    <row r="834" spans="1:9" x14ac:dyDescent="0.2">
      <c r="A834" s="704">
        <v>3011</v>
      </c>
      <c r="B834" s="704">
        <v>3011</v>
      </c>
      <c r="C834" s="704" t="s">
        <v>583</v>
      </c>
      <c r="D834" s="704" t="s">
        <v>544</v>
      </c>
      <c r="E834" s="704">
        <v>1</v>
      </c>
      <c r="F834" s="704">
        <v>100</v>
      </c>
      <c r="H834">
        <f t="shared" si="88"/>
        <v>3011</v>
      </c>
      <c r="I834" t="str">
        <f t="shared" si="89"/>
        <v>Greater Melbourne</v>
      </c>
    </row>
    <row r="835" spans="1:9" x14ac:dyDescent="0.2">
      <c r="A835" s="704">
        <v>3012</v>
      </c>
      <c r="B835" s="704">
        <v>3012</v>
      </c>
      <c r="C835" s="704" t="s">
        <v>583</v>
      </c>
      <c r="D835" s="704" t="s">
        <v>544</v>
      </c>
      <c r="E835" s="704">
        <v>1</v>
      </c>
      <c r="F835" s="704">
        <v>100</v>
      </c>
      <c r="H835">
        <f t="shared" si="88"/>
        <v>3012</v>
      </c>
      <c r="I835" t="str">
        <f t="shared" si="89"/>
        <v>Greater Melbourne</v>
      </c>
    </row>
    <row r="836" spans="1:9" x14ac:dyDescent="0.2">
      <c r="A836" s="704">
        <v>3013</v>
      </c>
      <c r="B836" s="704">
        <v>3013</v>
      </c>
      <c r="C836" s="704" t="s">
        <v>583</v>
      </c>
      <c r="D836" s="704" t="s">
        <v>544</v>
      </c>
      <c r="E836" s="704">
        <v>1</v>
      </c>
      <c r="F836" s="704">
        <v>100</v>
      </c>
      <c r="H836">
        <f t="shared" si="88"/>
        <v>3013</v>
      </c>
      <c r="I836" t="str">
        <f t="shared" si="89"/>
        <v>Greater Melbourne</v>
      </c>
    </row>
    <row r="837" spans="1:9" x14ac:dyDescent="0.2">
      <c r="A837" s="704">
        <v>3015</v>
      </c>
      <c r="B837" s="704">
        <v>3015</v>
      </c>
      <c r="C837" s="704" t="s">
        <v>583</v>
      </c>
      <c r="D837" s="704" t="s">
        <v>544</v>
      </c>
      <c r="E837" s="704">
        <v>1</v>
      </c>
      <c r="F837" s="704">
        <v>100</v>
      </c>
      <c r="H837">
        <f t="shared" si="88"/>
        <v>3015</v>
      </c>
      <c r="I837" t="str">
        <f t="shared" si="89"/>
        <v>Greater Melbourne</v>
      </c>
    </row>
    <row r="838" spans="1:9" x14ac:dyDescent="0.2">
      <c r="A838" s="704">
        <v>3016</v>
      </c>
      <c r="B838" s="704">
        <v>3016</v>
      </c>
      <c r="C838" s="704" t="s">
        <v>583</v>
      </c>
      <c r="D838" s="704" t="s">
        <v>544</v>
      </c>
      <c r="E838" s="704">
        <v>1</v>
      </c>
      <c r="F838" s="704">
        <v>100</v>
      </c>
      <c r="H838">
        <f t="shared" si="88"/>
        <v>3016</v>
      </c>
      <c r="I838" t="str">
        <f t="shared" si="89"/>
        <v>Greater Melbourne</v>
      </c>
    </row>
    <row r="839" spans="1:9" x14ac:dyDescent="0.2">
      <c r="A839" s="704">
        <v>3018</v>
      </c>
      <c r="B839" s="704">
        <v>3018</v>
      </c>
      <c r="C839" s="704" t="s">
        <v>583</v>
      </c>
      <c r="D839" s="704" t="s">
        <v>544</v>
      </c>
      <c r="E839" s="704">
        <v>0.997479</v>
      </c>
      <c r="F839" s="704">
        <v>99.747900000000001</v>
      </c>
      <c r="H839">
        <f t="shared" si="88"/>
        <v>3018</v>
      </c>
      <c r="I839" t="str">
        <f t="shared" si="89"/>
        <v>Greater Melbourne</v>
      </c>
    </row>
    <row r="840" spans="1:9" x14ac:dyDescent="0.2">
      <c r="A840" s="704">
        <v>3019</v>
      </c>
      <c r="B840" s="704">
        <v>3019</v>
      </c>
      <c r="C840" s="704" t="s">
        <v>583</v>
      </c>
      <c r="D840" s="704" t="s">
        <v>544</v>
      </c>
      <c r="E840" s="704">
        <v>1</v>
      </c>
      <c r="F840" s="704">
        <v>100</v>
      </c>
      <c r="H840">
        <f t="shared" si="88"/>
        <v>3019</v>
      </c>
      <c r="I840" t="str">
        <f t="shared" si="89"/>
        <v>Greater Melbourne</v>
      </c>
    </row>
    <row r="841" spans="1:9" x14ac:dyDescent="0.2">
      <c r="A841" s="704">
        <v>3020</v>
      </c>
      <c r="B841" s="704">
        <v>3020</v>
      </c>
      <c r="C841" s="704" t="s">
        <v>583</v>
      </c>
      <c r="D841" s="704" t="s">
        <v>544</v>
      </c>
      <c r="E841" s="704">
        <v>1</v>
      </c>
      <c r="F841" s="704">
        <v>100</v>
      </c>
      <c r="H841">
        <f t="shared" si="88"/>
        <v>3020</v>
      </c>
      <c r="I841" t="str">
        <f t="shared" si="89"/>
        <v>Greater Melbourne</v>
      </c>
    </row>
    <row r="842" spans="1:9" x14ac:dyDescent="0.2">
      <c r="A842" s="704">
        <v>3021</v>
      </c>
      <c r="B842" s="704">
        <v>3021</v>
      </c>
      <c r="C842" s="704" t="s">
        <v>583</v>
      </c>
      <c r="D842" s="704" t="s">
        <v>544</v>
      </c>
      <c r="E842" s="704">
        <v>1</v>
      </c>
      <c r="F842" s="704">
        <v>100</v>
      </c>
      <c r="H842">
        <f t="shared" si="88"/>
        <v>3021</v>
      </c>
      <c r="I842" t="str">
        <f t="shared" si="89"/>
        <v>Greater Melbourne</v>
      </c>
    </row>
    <row r="843" spans="1:9" x14ac:dyDescent="0.2">
      <c r="A843" s="704">
        <v>3022</v>
      </c>
      <c r="B843" s="704">
        <v>3022</v>
      </c>
      <c r="C843" s="704" t="s">
        <v>583</v>
      </c>
      <c r="D843" s="704" t="s">
        <v>544</v>
      </c>
      <c r="E843" s="704">
        <v>1</v>
      </c>
      <c r="F843" s="704">
        <v>100</v>
      </c>
      <c r="H843">
        <f t="shared" si="88"/>
        <v>3022</v>
      </c>
      <c r="I843" t="str">
        <f t="shared" si="89"/>
        <v>Greater Melbourne</v>
      </c>
    </row>
    <row r="844" spans="1:9" x14ac:dyDescent="0.2">
      <c r="A844" s="704">
        <v>3023</v>
      </c>
      <c r="B844" s="704">
        <v>3023</v>
      </c>
      <c r="C844" s="704" t="s">
        <v>583</v>
      </c>
      <c r="D844" s="704" t="s">
        <v>544</v>
      </c>
      <c r="E844" s="704">
        <v>1</v>
      </c>
      <c r="F844" s="704">
        <v>100</v>
      </c>
      <c r="H844">
        <f t="shared" si="88"/>
        <v>3023</v>
      </c>
      <c r="I844" t="str">
        <f t="shared" si="89"/>
        <v>Greater Melbourne</v>
      </c>
    </row>
    <row r="845" spans="1:9" x14ac:dyDescent="0.2">
      <c r="A845" s="704">
        <v>3024</v>
      </c>
      <c r="B845" s="704">
        <v>3024</v>
      </c>
      <c r="C845" s="704" t="s">
        <v>583</v>
      </c>
      <c r="D845" s="704" t="s">
        <v>544</v>
      </c>
      <c r="E845" s="704">
        <v>1</v>
      </c>
      <c r="F845" s="704">
        <v>100</v>
      </c>
      <c r="H845">
        <f t="shared" si="88"/>
        <v>3024</v>
      </c>
      <c r="I845" t="str">
        <f t="shared" si="89"/>
        <v>Greater Melbourne</v>
      </c>
    </row>
    <row r="846" spans="1:9" x14ac:dyDescent="0.2">
      <c r="A846" s="704">
        <v>3025</v>
      </c>
      <c r="B846" s="704">
        <v>3025</v>
      </c>
      <c r="C846" s="704" t="s">
        <v>583</v>
      </c>
      <c r="D846" s="704" t="s">
        <v>544</v>
      </c>
      <c r="E846" s="704">
        <v>1</v>
      </c>
      <c r="F846" s="704">
        <v>100</v>
      </c>
      <c r="H846">
        <f t="shared" si="88"/>
        <v>3025</v>
      </c>
      <c r="I846" t="str">
        <f t="shared" si="89"/>
        <v>Greater Melbourne</v>
      </c>
    </row>
    <row r="847" spans="1:9" x14ac:dyDescent="0.2">
      <c r="A847" s="704">
        <v>3026</v>
      </c>
      <c r="B847" s="704">
        <v>3026</v>
      </c>
      <c r="C847" s="704" t="s">
        <v>583</v>
      </c>
      <c r="D847" s="704" t="s">
        <v>544</v>
      </c>
      <c r="E847" s="704">
        <v>1</v>
      </c>
      <c r="F847" s="704">
        <v>100</v>
      </c>
      <c r="H847">
        <f t="shared" si="88"/>
        <v>3026</v>
      </c>
      <c r="I847" t="str">
        <f t="shared" si="89"/>
        <v>Greater Melbourne</v>
      </c>
    </row>
    <row r="848" spans="1:9" x14ac:dyDescent="0.2">
      <c r="A848" s="704">
        <v>3027</v>
      </c>
      <c r="B848" s="704">
        <v>3027</v>
      </c>
      <c r="C848" s="704" t="s">
        <v>583</v>
      </c>
      <c r="D848" s="704" t="s">
        <v>544</v>
      </c>
      <c r="E848" s="704">
        <v>1</v>
      </c>
      <c r="F848" s="704">
        <v>100</v>
      </c>
      <c r="H848">
        <f t="shared" si="88"/>
        <v>3027</v>
      </c>
      <c r="I848" t="str">
        <f t="shared" si="89"/>
        <v>Greater Melbourne</v>
      </c>
    </row>
    <row r="849" spans="1:9" x14ac:dyDescent="0.2">
      <c r="A849" s="704">
        <v>3028</v>
      </c>
      <c r="B849" s="704">
        <v>3028</v>
      </c>
      <c r="C849" s="704" t="s">
        <v>583</v>
      </c>
      <c r="D849" s="704" t="s">
        <v>544</v>
      </c>
      <c r="E849" s="704">
        <v>1</v>
      </c>
      <c r="F849" s="704">
        <v>100</v>
      </c>
      <c r="H849">
        <f t="shared" si="88"/>
        <v>3028</v>
      </c>
      <c r="I849" t="str">
        <f t="shared" si="89"/>
        <v>Greater Melbourne</v>
      </c>
    </row>
    <row r="850" spans="1:9" x14ac:dyDescent="0.2">
      <c r="A850" s="704">
        <v>3029</v>
      </c>
      <c r="B850" s="704">
        <v>3029</v>
      </c>
      <c r="C850" s="704" t="s">
        <v>583</v>
      </c>
      <c r="D850" s="704" t="s">
        <v>544</v>
      </c>
      <c r="E850" s="704">
        <v>1</v>
      </c>
      <c r="F850" s="704">
        <v>100</v>
      </c>
      <c r="H850">
        <f t="shared" si="88"/>
        <v>3029</v>
      </c>
      <c r="I850" t="str">
        <f t="shared" si="89"/>
        <v>Greater Melbourne</v>
      </c>
    </row>
    <row r="851" spans="1:9" x14ac:dyDescent="0.2">
      <c r="A851" s="704">
        <v>3030</v>
      </c>
      <c r="B851" s="704">
        <v>3030</v>
      </c>
      <c r="C851" s="704" t="s">
        <v>583</v>
      </c>
      <c r="D851" s="704" t="s">
        <v>544</v>
      </c>
      <c r="E851" s="704">
        <v>0.99995100000000003</v>
      </c>
      <c r="F851" s="704">
        <v>99.995099999999994</v>
      </c>
      <c r="H851">
        <f t="shared" si="88"/>
        <v>3030</v>
      </c>
      <c r="I851" t="str">
        <f t="shared" si="89"/>
        <v>Greater Melbourne</v>
      </c>
    </row>
    <row r="852" spans="1:9" x14ac:dyDescent="0.2">
      <c r="A852" s="704">
        <v>3031</v>
      </c>
      <c r="B852" s="704">
        <v>3031</v>
      </c>
      <c r="C852" s="704" t="s">
        <v>583</v>
      </c>
      <c r="D852" s="704" t="s">
        <v>544</v>
      </c>
      <c r="E852" s="704">
        <v>1</v>
      </c>
      <c r="F852" s="704">
        <v>100</v>
      </c>
      <c r="H852">
        <f t="shared" si="88"/>
        <v>3031</v>
      </c>
      <c r="I852" t="str">
        <f t="shared" si="89"/>
        <v>Greater Melbourne</v>
      </c>
    </row>
    <row r="853" spans="1:9" x14ac:dyDescent="0.2">
      <c r="A853" s="704">
        <v>3032</v>
      </c>
      <c r="B853" s="704">
        <v>3032</v>
      </c>
      <c r="C853" s="704" t="s">
        <v>583</v>
      </c>
      <c r="D853" s="704" t="s">
        <v>544</v>
      </c>
      <c r="E853" s="704">
        <v>1</v>
      </c>
      <c r="F853" s="704">
        <v>100</v>
      </c>
      <c r="H853">
        <f t="shared" si="88"/>
        <v>3032</v>
      </c>
      <c r="I853" t="str">
        <f t="shared" si="89"/>
        <v>Greater Melbourne</v>
      </c>
    </row>
    <row r="854" spans="1:9" x14ac:dyDescent="0.2">
      <c r="A854" s="704">
        <v>3033</v>
      </c>
      <c r="B854" s="704">
        <v>3033</v>
      </c>
      <c r="C854" s="704" t="s">
        <v>583</v>
      </c>
      <c r="D854" s="704" t="s">
        <v>544</v>
      </c>
      <c r="E854" s="704">
        <v>1</v>
      </c>
      <c r="F854" s="704">
        <v>100</v>
      </c>
      <c r="H854">
        <f t="shared" si="88"/>
        <v>3033</v>
      </c>
      <c r="I854" t="str">
        <f t="shared" si="89"/>
        <v>Greater Melbourne</v>
      </c>
    </row>
    <row r="855" spans="1:9" x14ac:dyDescent="0.2">
      <c r="A855" s="704">
        <v>3034</v>
      </c>
      <c r="B855" s="704">
        <v>3034</v>
      </c>
      <c r="C855" s="704" t="s">
        <v>583</v>
      </c>
      <c r="D855" s="704" t="s">
        <v>544</v>
      </c>
      <c r="E855" s="704">
        <v>1</v>
      </c>
      <c r="F855" s="704">
        <v>100</v>
      </c>
      <c r="H855">
        <f t="shared" si="88"/>
        <v>3034</v>
      </c>
      <c r="I855" t="str">
        <f t="shared" si="89"/>
        <v>Greater Melbourne</v>
      </c>
    </row>
    <row r="856" spans="1:9" x14ac:dyDescent="0.2">
      <c r="A856" s="704">
        <v>3036</v>
      </c>
      <c r="B856" s="704">
        <v>3036</v>
      </c>
      <c r="C856" s="704" t="s">
        <v>583</v>
      </c>
      <c r="D856" s="704" t="s">
        <v>544</v>
      </c>
      <c r="E856" s="704">
        <v>1</v>
      </c>
      <c r="F856" s="704">
        <v>100</v>
      </c>
      <c r="H856">
        <f t="shared" si="88"/>
        <v>3036</v>
      </c>
      <c r="I856" t="str">
        <f t="shared" si="89"/>
        <v>Greater Melbourne</v>
      </c>
    </row>
    <row r="857" spans="1:9" x14ac:dyDescent="0.2">
      <c r="A857" s="704">
        <v>3037</v>
      </c>
      <c r="B857" s="704">
        <v>3037</v>
      </c>
      <c r="C857" s="704" t="s">
        <v>583</v>
      </c>
      <c r="D857" s="704" t="s">
        <v>544</v>
      </c>
      <c r="E857" s="704">
        <v>1</v>
      </c>
      <c r="F857" s="704">
        <v>100</v>
      </c>
      <c r="H857">
        <f t="shared" si="88"/>
        <v>3037</v>
      </c>
      <c r="I857" t="str">
        <f t="shared" si="89"/>
        <v>Greater Melbourne</v>
      </c>
    </row>
    <row r="858" spans="1:9" x14ac:dyDescent="0.2">
      <c r="A858" s="704">
        <v>3038</v>
      </c>
      <c r="B858" s="704">
        <v>3038</v>
      </c>
      <c r="C858" s="704" t="s">
        <v>583</v>
      </c>
      <c r="D858" s="704" t="s">
        <v>544</v>
      </c>
      <c r="E858" s="704">
        <v>1</v>
      </c>
      <c r="F858" s="704">
        <v>100</v>
      </c>
      <c r="H858">
        <f t="shared" si="88"/>
        <v>3038</v>
      </c>
      <c r="I858" t="str">
        <f t="shared" si="89"/>
        <v>Greater Melbourne</v>
      </c>
    </row>
    <row r="859" spans="1:9" x14ac:dyDescent="0.2">
      <c r="A859" s="704">
        <v>3039</v>
      </c>
      <c r="B859" s="704">
        <v>3039</v>
      </c>
      <c r="C859" s="704" t="s">
        <v>583</v>
      </c>
      <c r="D859" s="704" t="s">
        <v>544</v>
      </c>
      <c r="E859" s="704">
        <v>1</v>
      </c>
      <c r="F859" s="704">
        <v>100</v>
      </c>
      <c r="H859">
        <f t="shared" si="88"/>
        <v>3039</v>
      </c>
      <c r="I859" t="str">
        <f t="shared" si="89"/>
        <v>Greater Melbourne</v>
      </c>
    </row>
    <row r="860" spans="1:9" x14ac:dyDescent="0.2">
      <c r="A860" s="704">
        <v>3040</v>
      </c>
      <c r="B860" s="704">
        <v>3040</v>
      </c>
      <c r="C860" s="704" t="s">
        <v>583</v>
      </c>
      <c r="D860" s="704" t="s">
        <v>544</v>
      </c>
      <c r="E860" s="704">
        <v>1</v>
      </c>
      <c r="F860" s="704">
        <v>100</v>
      </c>
      <c r="H860">
        <f t="shared" si="88"/>
        <v>3040</v>
      </c>
      <c r="I860" t="str">
        <f t="shared" si="89"/>
        <v>Greater Melbourne</v>
      </c>
    </row>
    <row r="861" spans="1:9" x14ac:dyDescent="0.2">
      <c r="A861" s="704">
        <v>3041</v>
      </c>
      <c r="B861" s="704">
        <v>3041</v>
      </c>
      <c r="C861" s="704" t="s">
        <v>583</v>
      </c>
      <c r="D861" s="704" t="s">
        <v>544</v>
      </c>
      <c r="E861" s="704">
        <v>1</v>
      </c>
      <c r="F861" s="704">
        <v>100</v>
      </c>
      <c r="H861">
        <f t="shared" si="88"/>
        <v>3041</v>
      </c>
      <c r="I861" t="str">
        <f t="shared" si="89"/>
        <v>Greater Melbourne</v>
      </c>
    </row>
    <row r="862" spans="1:9" x14ac:dyDescent="0.2">
      <c r="A862" s="704">
        <v>3042</v>
      </c>
      <c r="B862" s="704">
        <v>3042</v>
      </c>
      <c r="C862" s="704" t="s">
        <v>583</v>
      </c>
      <c r="D862" s="704" t="s">
        <v>544</v>
      </c>
      <c r="E862" s="704">
        <v>1</v>
      </c>
      <c r="F862" s="704">
        <v>100</v>
      </c>
      <c r="H862">
        <f t="shared" si="88"/>
        <v>3042</v>
      </c>
      <c r="I862" t="str">
        <f t="shared" si="89"/>
        <v>Greater Melbourne</v>
      </c>
    </row>
    <row r="863" spans="1:9" x14ac:dyDescent="0.2">
      <c r="A863" s="704">
        <v>3043</v>
      </c>
      <c r="B863" s="704">
        <v>3043</v>
      </c>
      <c r="C863" s="704" t="s">
        <v>583</v>
      </c>
      <c r="D863" s="704" t="s">
        <v>544</v>
      </c>
      <c r="E863" s="704">
        <v>1</v>
      </c>
      <c r="F863" s="704">
        <v>100</v>
      </c>
      <c r="H863">
        <f t="shared" si="88"/>
        <v>3043</v>
      </c>
      <c r="I863" t="str">
        <f t="shared" si="89"/>
        <v>Greater Melbourne</v>
      </c>
    </row>
    <row r="864" spans="1:9" x14ac:dyDescent="0.2">
      <c r="A864" s="704">
        <v>3044</v>
      </c>
      <c r="B864" s="704">
        <v>3044</v>
      </c>
      <c r="C864" s="704" t="s">
        <v>583</v>
      </c>
      <c r="D864" s="704" t="s">
        <v>544</v>
      </c>
      <c r="E864" s="704">
        <v>1</v>
      </c>
      <c r="F864" s="704">
        <v>100</v>
      </c>
      <c r="H864">
        <f t="shared" si="88"/>
        <v>3044</v>
      </c>
      <c r="I864" t="str">
        <f t="shared" si="89"/>
        <v>Greater Melbourne</v>
      </c>
    </row>
    <row r="865" spans="1:9" x14ac:dyDescent="0.2">
      <c r="A865" s="704">
        <v>3045</v>
      </c>
      <c r="B865" s="704">
        <v>3045</v>
      </c>
      <c r="C865" s="704" t="s">
        <v>583</v>
      </c>
      <c r="D865" s="704" t="s">
        <v>544</v>
      </c>
      <c r="E865" s="704">
        <v>1</v>
      </c>
      <c r="F865" s="704">
        <v>100</v>
      </c>
      <c r="H865">
        <f t="shared" si="88"/>
        <v>3045</v>
      </c>
      <c r="I865" t="str">
        <f t="shared" si="89"/>
        <v>Greater Melbourne</v>
      </c>
    </row>
    <row r="866" spans="1:9" x14ac:dyDescent="0.2">
      <c r="A866" s="704">
        <v>3046</v>
      </c>
      <c r="B866" s="704">
        <v>3046</v>
      </c>
      <c r="C866" s="704" t="s">
        <v>583</v>
      </c>
      <c r="D866" s="704" t="s">
        <v>544</v>
      </c>
      <c r="E866" s="704">
        <v>1</v>
      </c>
      <c r="F866" s="704">
        <v>100</v>
      </c>
      <c r="H866">
        <f t="shared" si="88"/>
        <v>3046</v>
      </c>
      <c r="I866" t="str">
        <f t="shared" si="89"/>
        <v>Greater Melbourne</v>
      </c>
    </row>
    <row r="867" spans="1:9" x14ac:dyDescent="0.2">
      <c r="A867" s="704">
        <v>3047</v>
      </c>
      <c r="B867" s="704">
        <v>3047</v>
      </c>
      <c r="C867" s="704" t="s">
        <v>583</v>
      </c>
      <c r="D867" s="704" t="s">
        <v>544</v>
      </c>
      <c r="E867" s="704">
        <v>1</v>
      </c>
      <c r="F867" s="704">
        <v>100</v>
      </c>
      <c r="H867">
        <f t="shared" si="88"/>
        <v>3047</v>
      </c>
      <c r="I867" t="str">
        <f t="shared" si="89"/>
        <v>Greater Melbourne</v>
      </c>
    </row>
    <row r="868" spans="1:9" x14ac:dyDescent="0.2">
      <c r="A868" s="704">
        <v>3048</v>
      </c>
      <c r="B868" s="704">
        <v>3048</v>
      </c>
      <c r="C868" s="704" t="s">
        <v>583</v>
      </c>
      <c r="D868" s="704" t="s">
        <v>544</v>
      </c>
      <c r="E868" s="704">
        <v>1</v>
      </c>
      <c r="F868" s="704">
        <v>100</v>
      </c>
      <c r="H868">
        <f t="shared" si="88"/>
        <v>3048</v>
      </c>
      <c r="I868" t="str">
        <f t="shared" si="89"/>
        <v>Greater Melbourne</v>
      </c>
    </row>
    <row r="869" spans="1:9" x14ac:dyDescent="0.2">
      <c r="A869" s="704">
        <v>3049</v>
      </c>
      <c r="B869" s="704">
        <v>3049</v>
      </c>
      <c r="C869" s="704" t="s">
        <v>583</v>
      </c>
      <c r="D869" s="704" t="s">
        <v>544</v>
      </c>
      <c r="E869" s="704">
        <v>1</v>
      </c>
      <c r="F869" s="704">
        <v>100</v>
      </c>
      <c r="H869">
        <f t="shared" si="88"/>
        <v>3049</v>
      </c>
      <c r="I869" t="str">
        <f t="shared" si="89"/>
        <v>Greater Melbourne</v>
      </c>
    </row>
    <row r="870" spans="1:9" x14ac:dyDescent="0.2">
      <c r="A870" s="704">
        <v>3050</v>
      </c>
      <c r="B870" s="704">
        <v>3050</v>
      </c>
      <c r="C870" s="704" t="s">
        <v>583</v>
      </c>
      <c r="D870" s="704" t="s">
        <v>544</v>
      </c>
      <c r="E870" s="704">
        <v>1</v>
      </c>
      <c r="F870" s="704">
        <v>100</v>
      </c>
      <c r="H870">
        <f t="shared" si="88"/>
        <v>3050</v>
      </c>
      <c r="I870" t="str">
        <f t="shared" si="89"/>
        <v>Greater Melbourne</v>
      </c>
    </row>
    <row r="871" spans="1:9" x14ac:dyDescent="0.2">
      <c r="A871" s="704">
        <v>3051</v>
      </c>
      <c r="B871" s="704">
        <v>3051</v>
      </c>
      <c r="C871" s="704" t="s">
        <v>583</v>
      </c>
      <c r="D871" s="704" t="s">
        <v>544</v>
      </c>
      <c r="E871" s="704">
        <v>1</v>
      </c>
      <c r="F871" s="704">
        <v>100</v>
      </c>
      <c r="H871">
        <f t="shared" si="88"/>
        <v>3051</v>
      </c>
      <c r="I871" t="str">
        <f t="shared" si="89"/>
        <v>Greater Melbourne</v>
      </c>
    </row>
    <row r="872" spans="1:9" x14ac:dyDescent="0.2">
      <c r="A872" s="704">
        <v>3052</v>
      </c>
      <c r="B872" s="704">
        <v>3052</v>
      </c>
      <c r="C872" s="704" t="s">
        <v>583</v>
      </c>
      <c r="D872" s="704" t="s">
        <v>544</v>
      </c>
      <c r="E872" s="704">
        <v>1</v>
      </c>
      <c r="F872" s="704">
        <v>100</v>
      </c>
      <c r="H872">
        <f t="shared" si="88"/>
        <v>3052</v>
      </c>
      <c r="I872" t="str">
        <f t="shared" si="89"/>
        <v>Greater Melbourne</v>
      </c>
    </row>
    <row r="873" spans="1:9" x14ac:dyDescent="0.2">
      <c r="A873" s="704">
        <v>3053</v>
      </c>
      <c r="B873" s="704">
        <v>3053</v>
      </c>
      <c r="C873" s="704" t="s">
        <v>583</v>
      </c>
      <c r="D873" s="704" t="s">
        <v>544</v>
      </c>
      <c r="E873" s="704">
        <v>1</v>
      </c>
      <c r="F873" s="704">
        <v>100</v>
      </c>
      <c r="H873">
        <f t="shared" si="88"/>
        <v>3053</v>
      </c>
      <c r="I873" t="str">
        <f t="shared" si="89"/>
        <v>Greater Melbourne</v>
      </c>
    </row>
    <row r="874" spans="1:9" x14ac:dyDescent="0.2">
      <c r="A874" s="704">
        <v>3054</v>
      </c>
      <c r="B874" s="704">
        <v>3054</v>
      </c>
      <c r="C874" s="704" t="s">
        <v>583</v>
      </c>
      <c r="D874" s="704" t="s">
        <v>544</v>
      </c>
      <c r="E874" s="704">
        <v>1</v>
      </c>
      <c r="F874" s="704">
        <v>100</v>
      </c>
      <c r="H874">
        <f t="shared" si="88"/>
        <v>3054</v>
      </c>
      <c r="I874" t="str">
        <f t="shared" si="89"/>
        <v>Greater Melbourne</v>
      </c>
    </row>
    <row r="875" spans="1:9" x14ac:dyDescent="0.2">
      <c r="A875" s="704">
        <v>3055</v>
      </c>
      <c r="B875" s="704">
        <v>3055</v>
      </c>
      <c r="C875" s="704" t="s">
        <v>583</v>
      </c>
      <c r="D875" s="704" t="s">
        <v>544</v>
      </c>
      <c r="E875" s="704">
        <v>1</v>
      </c>
      <c r="F875" s="704">
        <v>100</v>
      </c>
      <c r="H875">
        <f t="shared" si="88"/>
        <v>3055</v>
      </c>
      <c r="I875" t="str">
        <f t="shared" si="89"/>
        <v>Greater Melbourne</v>
      </c>
    </row>
    <row r="876" spans="1:9" x14ac:dyDescent="0.2">
      <c r="A876" s="704">
        <v>3056</v>
      </c>
      <c r="B876" s="704">
        <v>3056</v>
      </c>
      <c r="C876" s="704" t="s">
        <v>583</v>
      </c>
      <c r="D876" s="704" t="s">
        <v>544</v>
      </c>
      <c r="E876" s="704">
        <v>1</v>
      </c>
      <c r="F876" s="704">
        <v>100</v>
      </c>
      <c r="H876">
        <f t="shared" si="88"/>
        <v>3056</v>
      </c>
      <c r="I876" t="str">
        <f t="shared" si="89"/>
        <v>Greater Melbourne</v>
      </c>
    </row>
    <row r="877" spans="1:9" x14ac:dyDescent="0.2">
      <c r="A877" s="704">
        <v>3057</v>
      </c>
      <c r="B877" s="704">
        <v>3057</v>
      </c>
      <c r="C877" s="704" t="s">
        <v>583</v>
      </c>
      <c r="D877" s="704" t="s">
        <v>544</v>
      </c>
      <c r="E877" s="704">
        <v>1</v>
      </c>
      <c r="F877" s="704">
        <v>100</v>
      </c>
      <c r="H877">
        <f t="shared" si="88"/>
        <v>3057</v>
      </c>
      <c r="I877" t="str">
        <f t="shared" si="89"/>
        <v>Greater Melbourne</v>
      </c>
    </row>
    <row r="878" spans="1:9" x14ac:dyDescent="0.2">
      <c r="A878" s="704">
        <v>3058</v>
      </c>
      <c r="B878" s="704">
        <v>3058</v>
      </c>
      <c r="C878" s="704" t="s">
        <v>583</v>
      </c>
      <c r="D878" s="704" t="s">
        <v>544</v>
      </c>
      <c r="E878" s="704">
        <v>1</v>
      </c>
      <c r="F878" s="704">
        <v>100</v>
      </c>
      <c r="H878">
        <f t="shared" si="88"/>
        <v>3058</v>
      </c>
      <c r="I878" t="str">
        <f t="shared" si="89"/>
        <v>Greater Melbourne</v>
      </c>
    </row>
    <row r="879" spans="1:9" x14ac:dyDescent="0.2">
      <c r="A879" s="704">
        <v>3059</v>
      </c>
      <c r="B879" s="704">
        <v>3059</v>
      </c>
      <c r="C879" s="704" t="s">
        <v>583</v>
      </c>
      <c r="D879" s="704" t="s">
        <v>544</v>
      </c>
      <c r="E879" s="704">
        <v>1</v>
      </c>
      <c r="F879" s="704">
        <v>100</v>
      </c>
      <c r="H879">
        <f t="shared" si="88"/>
        <v>3059</v>
      </c>
      <c r="I879" t="str">
        <f t="shared" si="89"/>
        <v>Greater Melbourne</v>
      </c>
    </row>
    <row r="880" spans="1:9" x14ac:dyDescent="0.2">
      <c r="A880" s="704">
        <v>3060</v>
      </c>
      <c r="B880" s="704">
        <v>3060</v>
      </c>
      <c r="C880" s="704" t="s">
        <v>583</v>
      </c>
      <c r="D880" s="704" t="s">
        <v>544</v>
      </c>
      <c r="E880" s="704">
        <v>1</v>
      </c>
      <c r="F880" s="704">
        <v>100</v>
      </c>
      <c r="H880">
        <f t="shared" si="88"/>
        <v>3060</v>
      </c>
      <c r="I880" t="str">
        <f t="shared" si="89"/>
        <v>Greater Melbourne</v>
      </c>
    </row>
    <row r="881" spans="1:9" x14ac:dyDescent="0.2">
      <c r="A881" s="704">
        <v>3061</v>
      </c>
      <c r="B881" s="704">
        <v>3061</v>
      </c>
      <c r="C881" s="704" t="s">
        <v>583</v>
      </c>
      <c r="D881" s="704" t="s">
        <v>544</v>
      </c>
      <c r="E881" s="704">
        <v>1</v>
      </c>
      <c r="F881" s="704">
        <v>100</v>
      </c>
      <c r="H881">
        <f t="shared" si="88"/>
        <v>3061</v>
      </c>
      <c r="I881" t="str">
        <f t="shared" si="89"/>
        <v>Greater Melbourne</v>
      </c>
    </row>
    <row r="882" spans="1:9" x14ac:dyDescent="0.2">
      <c r="A882" s="704">
        <v>3062</v>
      </c>
      <c r="B882" s="704">
        <v>3062</v>
      </c>
      <c r="C882" s="704" t="s">
        <v>583</v>
      </c>
      <c r="D882" s="704" t="s">
        <v>544</v>
      </c>
      <c r="E882" s="704">
        <v>1</v>
      </c>
      <c r="F882" s="704">
        <v>100</v>
      </c>
      <c r="H882">
        <f t="shared" si="88"/>
        <v>3062</v>
      </c>
      <c r="I882" t="str">
        <f t="shared" si="89"/>
        <v>Greater Melbourne</v>
      </c>
    </row>
    <row r="883" spans="1:9" x14ac:dyDescent="0.2">
      <c r="A883" s="704">
        <v>3063</v>
      </c>
      <c r="B883" s="704">
        <v>3063</v>
      </c>
      <c r="C883" s="704" t="s">
        <v>583</v>
      </c>
      <c r="D883" s="704" t="s">
        <v>544</v>
      </c>
      <c r="E883" s="704">
        <v>1</v>
      </c>
      <c r="F883" s="704">
        <v>100</v>
      </c>
      <c r="H883">
        <f t="shared" si="88"/>
        <v>3063</v>
      </c>
      <c r="I883" t="str">
        <f t="shared" si="89"/>
        <v>Greater Melbourne</v>
      </c>
    </row>
    <row r="884" spans="1:9" x14ac:dyDescent="0.2">
      <c r="A884" s="704">
        <v>3064</v>
      </c>
      <c r="B884" s="704">
        <v>3064</v>
      </c>
      <c r="C884" s="704" t="s">
        <v>583</v>
      </c>
      <c r="D884" s="704" t="s">
        <v>544</v>
      </c>
      <c r="E884" s="704">
        <v>1</v>
      </c>
      <c r="F884" s="704">
        <v>100</v>
      </c>
      <c r="H884">
        <f t="shared" si="88"/>
        <v>3064</v>
      </c>
      <c r="I884" t="str">
        <f t="shared" si="89"/>
        <v>Greater Melbourne</v>
      </c>
    </row>
    <row r="885" spans="1:9" x14ac:dyDescent="0.2">
      <c r="A885" s="704">
        <v>3065</v>
      </c>
      <c r="B885" s="704">
        <v>3065</v>
      </c>
      <c r="C885" s="704" t="s">
        <v>583</v>
      </c>
      <c r="D885" s="704" t="s">
        <v>544</v>
      </c>
      <c r="E885" s="704">
        <v>1</v>
      </c>
      <c r="F885" s="704">
        <v>100</v>
      </c>
      <c r="H885">
        <f t="shared" si="88"/>
        <v>3065</v>
      </c>
      <c r="I885" t="str">
        <f t="shared" si="89"/>
        <v>Greater Melbourne</v>
      </c>
    </row>
    <row r="886" spans="1:9" x14ac:dyDescent="0.2">
      <c r="A886" s="704">
        <v>3066</v>
      </c>
      <c r="B886" s="704">
        <v>3066</v>
      </c>
      <c r="C886" s="704" t="s">
        <v>583</v>
      </c>
      <c r="D886" s="704" t="s">
        <v>544</v>
      </c>
      <c r="E886" s="704">
        <v>1</v>
      </c>
      <c r="F886" s="704">
        <v>100</v>
      </c>
      <c r="H886">
        <f t="shared" si="88"/>
        <v>3066</v>
      </c>
      <c r="I886" t="str">
        <f t="shared" si="89"/>
        <v>Greater Melbourne</v>
      </c>
    </row>
    <row r="887" spans="1:9" x14ac:dyDescent="0.2">
      <c r="A887" s="704">
        <v>3067</v>
      </c>
      <c r="B887" s="704">
        <v>3067</v>
      </c>
      <c r="C887" s="704" t="s">
        <v>583</v>
      </c>
      <c r="D887" s="704" t="s">
        <v>544</v>
      </c>
      <c r="E887" s="704">
        <v>1</v>
      </c>
      <c r="F887" s="704">
        <v>100</v>
      </c>
      <c r="H887">
        <f t="shared" si="88"/>
        <v>3067</v>
      </c>
      <c r="I887" t="str">
        <f t="shared" si="89"/>
        <v>Greater Melbourne</v>
      </c>
    </row>
    <row r="888" spans="1:9" x14ac:dyDescent="0.2">
      <c r="A888" s="704">
        <v>3068</v>
      </c>
      <c r="B888" s="704">
        <v>3068</v>
      </c>
      <c r="C888" s="704" t="s">
        <v>583</v>
      </c>
      <c r="D888" s="704" t="s">
        <v>544</v>
      </c>
      <c r="E888" s="704">
        <v>1</v>
      </c>
      <c r="F888" s="704">
        <v>100</v>
      </c>
      <c r="H888">
        <f t="shared" si="88"/>
        <v>3068</v>
      </c>
      <c r="I888" t="str">
        <f t="shared" si="89"/>
        <v>Greater Melbourne</v>
      </c>
    </row>
    <row r="889" spans="1:9" x14ac:dyDescent="0.2">
      <c r="A889" s="704">
        <v>3070</v>
      </c>
      <c r="B889" s="704">
        <v>3070</v>
      </c>
      <c r="C889" s="704" t="s">
        <v>583</v>
      </c>
      <c r="D889" s="704" t="s">
        <v>544</v>
      </c>
      <c r="E889" s="704">
        <v>1</v>
      </c>
      <c r="F889" s="704">
        <v>100</v>
      </c>
      <c r="H889">
        <f t="shared" ref="H889:H952" si="90">A889*1</f>
        <v>3070</v>
      </c>
      <c r="I889" t="str">
        <f t="shared" ref="I889:I952" si="91">D889</f>
        <v>Greater Melbourne</v>
      </c>
    </row>
    <row r="890" spans="1:9" x14ac:dyDescent="0.2">
      <c r="A890" s="704">
        <v>3071</v>
      </c>
      <c r="B890" s="704">
        <v>3071</v>
      </c>
      <c r="C890" s="704" t="s">
        <v>583</v>
      </c>
      <c r="D890" s="704" t="s">
        <v>544</v>
      </c>
      <c r="E890" s="704">
        <v>1</v>
      </c>
      <c r="F890" s="704">
        <v>100</v>
      </c>
      <c r="H890">
        <f t="shared" si="90"/>
        <v>3071</v>
      </c>
      <c r="I890" t="str">
        <f t="shared" si="91"/>
        <v>Greater Melbourne</v>
      </c>
    </row>
    <row r="891" spans="1:9" x14ac:dyDescent="0.2">
      <c r="A891" s="704">
        <v>3072</v>
      </c>
      <c r="B891" s="704">
        <v>3072</v>
      </c>
      <c r="C891" s="704" t="s">
        <v>583</v>
      </c>
      <c r="D891" s="704" t="s">
        <v>544</v>
      </c>
      <c r="E891" s="704">
        <v>1</v>
      </c>
      <c r="F891" s="704">
        <v>100</v>
      </c>
      <c r="H891">
        <f t="shared" si="90"/>
        <v>3072</v>
      </c>
      <c r="I891" t="str">
        <f t="shared" si="91"/>
        <v>Greater Melbourne</v>
      </c>
    </row>
    <row r="892" spans="1:9" x14ac:dyDescent="0.2">
      <c r="A892" s="704">
        <v>3073</v>
      </c>
      <c r="B892" s="704">
        <v>3073</v>
      </c>
      <c r="C892" s="704" t="s">
        <v>583</v>
      </c>
      <c r="D892" s="704" t="s">
        <v>544</v>
      </c>
      <c r="E892" s="704">
        <v>1</v>
      </c>
      <c r="F892" s="704">
        <v>100</v>
      </c>
      <c r="H892">
        <f t="shared" si="90"/>
        <v>3073</v>
      </c>
      <c r="I892" t="str">
        <f t="shared" si="91"/>
        <v>Greater Melbourne</v>
      </c>
    </row>
    <row r="893" spans="1:9" x14ac:dyDescent="0.2">
      <c r="A893" s="704">
        <v>3074</v>
      </c>
      <c r="B893" s="704">
        <v>3074</v>
      </c>
      <c r="C893" s="704" t="s">
        <v>583</v>
      </c>
      <c r="D893" s="704" t="s">
        <v>544</v>
      </c>
      <c r="E893" s="704">
        <v>1</v>
      </c>
      <c r="F893" s="704">
        <v>100</v>
      </c>
      <c r="H893">
        <f t="shared" si="90"/>
        <v>3074</v>
      </c>
      <c r="I893" t="str">
        <f t="shared" si="91"/>
        <v>Greater Melbourne</v>
      </c>
    </row>
    <row r="894" spans="1:9" x14ac:dyDescent="0.2">
      <c r="A894" s="704">
        <v>3075</v>
      </c>
      <c r="B894" s="704">
        <v>3075</v>
      </c>
      <c r="C894" s="704" t="s">
        <v>583</v>
      </c>
      <c r="D894" s="704" t="s">
        <v>544</v>
      </c>
      <c r="E894" s="704">
        <v>1</v>
      </c>
      <c r="F894" s="704">
        <v>100</v>
      </c>
      <c r="H894">
        <f t="shared" si="90"/>
        <v>3075</v>
      </c>
      <c r="I894" t="str">
        <f t="shared" si="91"/>
        <v>Greater Melbourne</v>
      </c>
    </row>
    <row r="895" spans="1:9" x14ac:dyDescent="0.2">
      <c r="A895" s="704">
        <v>3076</v>
      </c>
      <c r="B895" s="704">
        <v>3076</v>
      </c>
      <c r="C895" s="704" t="s">
        <v>583</v>
      </c>
      <c r="D895" s="704" t="s">
        <v>544</v>
      </c>
      <c r="E895" s="704">
        <v>1</v>
      </c>
      <c r="F895" s="704">
        <v>100</v>
      </c>
      <c r="H895">
        <f t="shared" si="90"/>
        <v>3076</v>
      </c>
      <c r="I895" t="str">
        <f t="shared" si="91"/>
        <v>Greater Melbourne</v>
      </c>
    </row>
    <row r="896" spans="1:9" x14ac:dyDescent="0.2">
      <c r="A896" s="704">
        <v>3078</v>
      </c>
      <c r="B896" s="704">
        <v>3078</v>
      </c>
      <c r="C896" s="704" t="s">
        <v>583</v>
      </c>
      <c r="D896" s="704" t="s">
        <v>544</v>
      </c>
      <c r="E896" s="704">
        <v>1</v>
      </c>
      <c r="F896" s="704">
        <v>100</v>
      </c>
      <c r="H896">
        <f t="shared" si="90"/>
        <v>3078</v>
      </c>
      <c r="I896" t="str">
        <f t="shared" si="91"/>
        <v>Greater Melbourne</v>
      </c>
    </row>
    <row r="897" spans="1:9" x14ac:dyDescent="0.2">
      <c r="A897" s="704">
        <v>3079</v>
      </c>
      <c r="B897" s="704">
        <v>3079</v>
      </c>
      <c r="C897" s="704" t="s">
        <v>583</v>
      </c>
      <c r="D897" s="704" t="s">
        <v>544</v>
      </c>
      <c r="E897" s="704">
        <v>1</v>
      </c>
      <c r="F897" s="704">
        <v>100</v>
      </c>
      <c r="H897">
        <f t="shared" si="90"/>
        <v>3079</v>
      </c>
      <c r="I897" t="str">
        <f t="shared" si="91"/>
        <v>Greater Melbourne</v>
      </c>
    </row>
    <row r="898" spans="1:9" x14ac:dyDescent="0.2">
      <c r="A898" s="704">
        <v>3081</v>
      </c>
      <c r="B898" s="704">
        <v>3081</v>
      </c>
      <c r="C898" s="704" t="s">
        <v>583</v>
      </c>
      <c r="D898" s="704" t="s">
        <v>544</v>
      </c>
      <c r="E898" s="704">
        <v>1</v>
      </c>
      <c r="F898" s="704">
        <v>100</v>
      </c>
      <c r="H898">
        <f t="shared" si="90"/>
        <v>3081</v>
      </c>
      <c r="I898" t="str">
        <f t="shared" si="91"/>
        <v>Greater Melbourne</v>
      </c>
    </row>
    <row r="899" spans="1:9" x14ac:dyDescent="0.2">
      <c r="A899" s="704">
        <v>3082</v>
      </c>
      <c r="B899" s="704">
        <v>3082</v>
      </c>
      <c r="C899" s="704" t="s">
        <v>583</v>
      </c>
      <c r="D899" s="704" t="s">
        <v>544</v>
      </c>
      <c r="E899" s="704">
        <v>1</v>
      </c>
      <c r="F899" s="704">
        <v>100</v>
      </c>
      <c r="H899">
        <f t="shared" si="90"/>
        <v>3082</v>
      </c>
      <c r="I899" t="str">
        <f t="shared" si="91"/>
        <v>Greater Melbourne</v>
      </c>
    </row>
    <row r="900" spans="1:9" x14ac:dyDescent="0.2">
      <c r="A900" s="704">
        <v>3083</v>
      </c>
      <c r="B900" s="704">
        <v>3083</v>
      </c>
      <c r="C900" s="704" t="s">
        <v>583</v>
      </c>
      <c r="D900" s="704" t="s">
        <v>544</v>
      </c>
      <c r="E900" s="704">
        <v>1</v>
      </c>
      <c r="F900" s="704">
        <v>100</v>
      </c>
      <c r="H900">
        <f t="shared" si="90"/>
        <v>3083</v>
      </c>
      <c r="I900" t="str">
        <f t="shared" si="91"/>
        <v>Greater Melbourne</v>
      </c>
    </row>
    <row r="901" spans="1:9" x14ac:dyDescent="0.2">
      <c r="A901" s="704">
        <v>3084</v>
      </c>
      <c r="B901" s="704">
        <v>3084</v>
      </c>
      <c r="C901" s="704" t="s">
        <v>583</v>
      </c>
      <c r="D901" s="704" t="s">
        <v>544</v>
      </c>
      <c r="E901" s="704">
        <v>1</v>
      </c>
      <c r="F901" s="704">
        <v>100</v>
      </c>
      <c r="H901">
        <f t="shared" si="90"/>
        <v>3084</v>
      </c>
      <c r="I901" t="str">
        <f t="shared" si="91"/>
        <v>Greater Melbourne</v>
      </c>
    </row>
    <row r="902" spans="1:9" x14ac:dyDescent="0.2">
      <c r="A902" s="704">
        <v>3085</v>
      </c>
      <c r="B902" s="704">
        <v>3085</v>
      </c>
      <c r="C902" s="704" t="s">
        <v>583</v>
      </c>
      <c r="D902" s="704" t="s">
        <v>544</v>
      </c>
      <c r="E902" s="704">
        <v>1</v>
      </c>
      <c r="F902" s="704">
        <v>100</v>
      </c>
      <c r="H902">
        <f t="shared" si="90"/>
        <v>3085</v>
      </c>
      <c r="I902" t="str">
        <f t="shared" si="91"/>
        <v>Greater Melbourne</v>
      </c>
    </row>
    <row r="903" spans="1:9" x14ac:dyDescent="0.2">
      <c r="A903" s="704">
        <v>3086</v>
      </c>
      <c r="B903" s="704">
        <v>3086</v>
      </c>
      <c r="C903" s="704" t="s">
        <v>583</v>
      </c>
      <c r="D903" s="704" t="s">
        <v>544</v>
      </c>
      <c r="E903" s="704">
        <v>1</v>
      </c>
      <c r="F903" s="704">
        <v>100</v>
      </c>
      <c r="H903">
        <f t="shared" si="90"/>
        <v>3086</v>
      </c>
      <c r="I903" t="str">
        <f t="shared" si="91"/>
        <v>Greater Melbourne</v>
      </c>
    </row>
    <row r="904" spans="1:9" x14ac:dyDescent="0.2">
      <c r="A904" s="704">
        <v>3087</v>
      </c>
      <c r="B904" s="704">
        <v>3087</v>
      </c>
      <c r="C904" s="704" t="s">
        <v>583</v>
      </c>
      <c r="D904" s="704" t="s">
        <v>544</v>
      </c>
      <c r="E904" s="704">
        <v>1</v>
      </c>
      <c r="F904" s="704">
        <v>100</v>
      </c>
      <c r="H904">
        <f t="shared" si="90"/>
        <v>3087</v>
      </c>
      <c r="I904" t="str">
        <f t="shared" si="91"/>
        <v>Greater Melbourne</v>
      </c>
    </row>
    <row r="905" spans="1:9" x14ac:dyDescent="0.2">
      <c r="A905" s="704">
        <v>3088</v>
      </c>
      <c r="B905" s="704">
        <v>3088</v>
      </c>
      <c r="C905" s="704" t="s">
        <v>583</v>
      </c>
      <c r="D905" s="704" t="s">
        <v>544</v>
      </c>
      <c r="E905" s="704">
        <v>1</v>
      </c>
      <c r="F905" s="704">
        <v>100</v>
      </c>
      <c r="H905">
        <f t="shared" si="90"/>
        <v>3088</v>
      </c>
      <c r="I905" t="str">
        <f t="shared" si="91"/>
        <v>Greater Melbourne</v>
      </c>
    </row>
    <row r="906" spans="1:9" x14ac:dyDescent="0.2">
      <c r="A906" s="704">
        <v>3089</v>
      </c>
      <c r="B906" s="704">
        <v>3089</v>
      </c>
      <c r="C906" s="704" t="s">
        <v>583</v>
      </c>
      <c r="D906" s="704" t="s">
        <v>544</v>
      </c>
      <c r="E906" s="704">
        <v>1</v>
      </c>
      <c r="F906" s="704">
        <v>100</v>
      </c>
      <c r="H906">
        <f t="shared" si="90"/>
        <v>3089</v>
      </c>
      <c r="I906" t="str">
        <f t="shared" si="91"/>
        <v>Greater Melbourne</v>
      </c>
    </row>
    <row r="907" spans="1:9" x14ac:dyDescent="0.2">
      <c r="A907" s="704">
        <v>3090</v>
      </c>
      <c r="B907" s="704">
        <v>3090</v>
      </c>
      <c r="C907" s="704" t="s">
        <v>583</v>
      </c>
      <c r="D907" s="704" t="s">
        <v>544</v>
      </c>
      <c r="E907" s="704">
        <v>1</v>
      </c>
      <c r="F907" s="704">
        <v>100</v>
      </c>
      <c r="H907">
        <f t="shared" si="90"/>
        <v>3090</v>
      </c>
      <c r="I907" t="str">
        <f t="shared" si="91"/>
        <v>Greater Melbourne</v>
      </c>
    </row>
    <row r="908" spans="1:9" x14ac:dyDescent="0.2">
      <c r="A908" s="704">
        <v>3091</v>
      </c>
      <c r="B908" s="704">
        <v>3091</v>
      </c>
      <c r="C908" s="704" t="s">
        <v>583</v>
      </c>
      <c r="D908" s="704" t="s">
        <v>544</v>
      </c>
      <c r="E908" s="704">
        <v>1</v>
      </c>
      <c r="F908" s="704">
        <v>100</v>
      </c>
      <c r="H908">
        <f t="shared" si="90"/>
        <v>3091</v>
      </c>
      <c r="I908" t="str">
        <f t="shared" si="91"/>
        <v>Greater Melbourne</v>
      </c>
    </row>
    <row r="909" spans="1:9" x14ac:dyDescent="0.2">
      <c r="A909" s="704">
        <v>3093</v>
      </c>
      <c r="B909" s="704">
        <v>3093</v>
      </c>
      <c r="C909" s="704" t="s">
        <v>583</v>
      </c>
      <c r="D909" s="704" t="s">
        <v>544</v>
      </c>
      <c r="E909" s="704">
        <v>1</v>
      </c>
      <c r="F909" s="704">
        <v>100</v>
      </c>
      <c r="H909">
        <f t="shared" si="90"/>
        <v>3093</v>
      </c>
      <c r="I909" t="str">
        <f t="shared" si="91"/>
        <v>Greater Melbourne</v>
      </c>
    </row>
    <row r="910" spans="1:9" x14ac:dyDescent="0.2">
      <c r="A910" s="704">
        <v>3094</v>
      </c>
      <c r="B910" s="704">
        <v>3094</v>
      </c>
      <c r="C910" s="704" t="s">
        <v>583</v>
      </c>
      <c r="D910" s="704" t="s">
        <v>544</v>
      </c>
      <c r="E910" s="704">
        <v>1</v>
      </c>
      <c r="F910" s="704">
        <v>100</v>
      </c>
      <c r="H910">
        <f t="shared" si="90"/>
        <v>3094</v>
      </c>
      <c r="I910" t="str">
        <f t="shared" si="91"/>
        <v>Greater Melbourne</v>
      </c>
    </row>
    <row r="911" spans="1:9" x14ac:dyDescent="0.2">
      <c r="A911" s="704">
        <v>3095</v>
      </c>
      <c r="B911" s="704">
        <v>3095</v>
      </c>
      <c r="C911" s="704" t="s">
        <v>583</v>
      </c>
      <c r="D911" s="704" t="s">
        <v>544</v>
      </c>
      <c r="E911" s="704">
        <v>1</v>
      </c>
      <c r="F911" s="704">
        <v>100</v>
      </c>
      <c r="H911">
        <f t="shared" si="90"/>
        <v>3095</v>
      </c>
      <c r="I911" t="str">
        <f t="shared" si="91"/>
        <v>Greater Melbourne</v>
      </c>
    </row>
    <row r="912" spans="1:9" x14ac:dyDescent="0.2">
      <c r="A912" s="704">
        <v>3096</v>
      </c>
      <c r="B912" s="704">
        <v>3096</v>
      </c>
      <c r="C912" s="704" t="s">
        <v>583</v>
      </c>
      <c r="D912" s="704" t="s">
        <v>544</v>
      </c>
      <c r="E912" s="704">
        <v>1</v>
      </c>
      <c r="F912" s="704">
        <v>100</v>
      </c>
      <c r="H912">
        <f t="shared" si="90"/>
        <v>3096</v>
      </c>
      <c r="I912" t="str">
        <f t="shared" si="91"/>
        <v>Greater Melbourne</v>
      </c>
    </row>
    <row r="913" spans="1:9" x14ac:dyDescent="0.2">
      <c r="A913" s="704">
        <v>3097</v>
      </c>
      <c r="B913" s="704">
        <v>3097</v>
      </c>
      <c r="C913" s="704" t="s">
        <v>583</v>
      </c>
      <c r="D913" s="704" t="s">
        <v>544</v>
      </c>
      <c r="E913" s="704">
        <v>1</v>
      </c>
      <c r="F913" s="704">
        <v>100</v>
      </c>
      <c r="H913">
        <f t="shared" si="90"/>
        <v>3097</v>
      </c>
      <c r="I913" t="str">
        <f t="shared" si="91"/>
        <v>Greater Melbourne</v>
      </c>
    </row>
    <row r="914" spans="1:9" x14ac:dyDescent="0.2">
      <c r="A914" s="704">
        <v>3099</v>
      </c>
      <c r="B914" s="704">
        <v>3099</v>
      </c>
      <c r="C914" s="704" t="s">
        <v>583</v>
      </c>
      <c r="D914" s="704" t="s">
        <v>544</v>
      </c>
      <c r="E914" s="704">
        <v>1</v>
      </c>
      <c r="F914" s="704">
        <v>100</v>
      </c>
      <c r="H914">
        <f t="shared" si="90"/>
        <v>3099</v>
      </c>
      <c r="I914" t="str">
        <f t="shared" si="91"/>
        <v>Greater Melbourne</v>
      </c>
    </row>
    <row r="915" spans="1:9" x14ac:dyDescent="0.2">
      <c r="A915" s="704">
        <v>3101</v>
      </c>
      <c r="B915" s="704">
        <v>3101</v>
      </c>
      <c r="C915" s="704" t="s">
        <v>583</v>
      </c>
      <c r="D915" s="704" t="s">
        <v>544</v>
      </c>
      <c r="E915" s="704">
        <v>1</v>
      </c>
      <c r="F915" s="704">
        <v>100</v>
      </c>
      <c r="H915">
        <f t="shared" si="90"/>
        <v>3101</v>
      </c>
      <c r="I915" t="str">
        <f t="shared" si="91"/>
        <v>Greater Melbourne</v>
      </c>
    </row>
    <row r="916" spans="1:9" x14ac:dyDescent="0.2">
      <c r="A916" s="704">
        <v>3102</v>
      </c>
      <c r="B916" s="704">
        <v>3102</v>
      </c>
      <c r="C916" s="704" t="s">
        <v>583</v>
      </c>
      <c r="D916" s="704" t="s">
        <v>544</v>
      </c>
      <c r="E916" s="704">
        <v>1</v>
      </c>
      <c r="F916" s="704">
        <v>100</v>
      </c>
      <c r="H916">
        <f t="shared" si="90"/>
        <v>3102</v>
      </c>
      <c r="I916" t="str">
        <f t="shared" si="91"/>
        <v>Greater Melbourne</v>
      </c>
    </row>
    <row r="917" spans="1:9" x14ac:dyDescent="0.2">
      <c r="A917" s="704">
        <v>3103</v>
      </c>
      <c r="B917" s="704">
        <v>3103</v>
      </c>
      <c r="C917" s="704" t="s">
        <v>583</v>
      </c>
      <c r="D917" s="704" t="s">
        <v>544</v>
      </c>
      <c r="E917" s="704">
        <v>1</v>
      </c>
      <c r="F917" s="704">
        <v>100</v>
      </c>
      <c r="H917">
        <f t="shared" si="90"/>
        <v>3103</v>
      </c>
      <c r="I917" t="str">
        <f t="shared" si="91"/>
        <v>Greater Melbourne</v>
      </c>
    </row>
    <row r="918" spans="1:9" x14ac:dyDescent="0.2">
      <c r="A918" s="704">
        <v>3104</v>
      </c>
      <c r="B918" s="704">
        <v>3104</v>
      </c>
      <c r="C918" s="704" t="s">
        <v>583</v>
      </c>
      <c r="D918" s="704" t="s">
        <v>544</v>
      </c>
      <c r="E918" s="704">
        <v>1</v>
      </c>
      <c r="F918" s="704">
        <v>100</v>
      </c>
      <c r="H918">
        <f t="shared" si="90"/>
        <v>3104</v>
      </c>
      <c r="I918" t="str">
        <f t="shared" si="91"/>
        <v>Greater Melbourne</v>
      </c>
    </row>
    <row r="919" spans="1:9" x14ac:dyDescent="0.2">
      <c r="A919" s="704">
        <v>3105</v>
      </c>
      <c r="B919" s="704">
        <v>3105</v>
      </c>
      <c r="C919" s="704" t="s">
        <v>583</v>
      </c>
      <c r="D919" s="704" t="s">
        <v>544</v>
      </c>
      <c r="E919" s="704">
        <v>1</v>
      </c>
      <c r="F919" s="704">
        <v>100</v>
      </c>
      <c r="H919">
        <f t="shared" si="90"/>
        <v>3105</v>
      </c>
      <c r="I919" t="str">
        <f t="shared" si="91"/>
        <v>Greater Melbourne</v>
      </c>
    </row>
    <row r="920" spans="1:9" x14ac:dyDescent="0.2">
      <c r="A920" s="704">
        <v>3106</v>
      </c>
      <c r="B920" s="704">
        <v>3106</v>
      </c>
      <c r="C920" s="704" t="s">
        <v>583</v>
      </c>
      <c r="D920" s="704" t="s">
        <v>544</v>
      </c>
      <c r="E920" s="704">
        <v>1</v>
      </c>
      <c r="F920" s="704">
        <v>100</v>
      </c>
      <c r="H920">
        <f t="shared" si="90"/>
        <v>3106</v>
      </c>
      <c r="I920" t="str">
        <f t="shared" si="91"/>
        <v>Greater Melbourne</v>
      </c>
    </row>
    <row r="921" spans="1:9" x14ac:dyDescent="0.2">
      <c r="A921" s="704">
        <v>3107</v>
      </c>
      <c r="B921" s="704">
        <v>3107</v>
      </c>
      <c r="C921" s="704" t="s">
        <v>583</v>
      </c>
      <c r="D921" s="704" t="s">
        <v>544</v>
      </c>
      <c r="E921" s="704">
        <v>1</v>
      </c>
      <c r="F921" s="704">
        <v>100</v>
      </c>
      <c r="H921">
        <f t="shared" si="90"/>
        <v>3107</v>
      </c>
      <c r="I921" t="str">
        <f t="shared" si="91"/>
        <v>Greater Melbourne</v>
      </c>
    </row>
    <row r="922" spans="1:9" x14ac:dyDescent="0.2">
      <c r="A922" s="704">
        <v>3108</v>
      </c>
      <c r="B922" s="704">
        <v>3108</v>
      </c>
      <c r="C922" s="704" t="s">
        <v>583</v>
      </c>
      <c r="D922" s="704" t="s">
        <v>544</v>
      </c>
      <c r="E922" s="704">
        <v>1</v>
      </c>
      <c r="F922" s="704">
        <v>100</v>
      </c>
      <c r="H922">
        <f t="shared" si="90"/>
        <v>3108</v>
      </c>
      <c r="I922" t="str">
        <f t="shared" si="91"/>
        <v>Greater Melbourne</v>
      </c>
    </row>
    <row r="923" spans="1:9" x14ac:dyDescent="0.2">
      <c r="A923" s="704">
        <v>3109</v>
      </c>
      <c r="B923" s="704">
        <v>3109</v>
      </c>
      <c r="C923" s="704" t="s">
        <v>583</v>
      </c>
      <c r="D923" s="704" t="s">
        <v>544</v>
      </c>
      <c r="E923" s="704">
        <v>1</v>
      </c>
      <c r="F923" s="704">
        <v>100</v>
      </c>
      <c r="H923">
        <f t="shared" si="90"/>
        <v>3109</v>
      </c>
      <c r="I923" t="str">
        <f t="shared" si="91"/>
        <v>Greater Melbourne</v>
      </c>
    </row>
    <row r="924" spans="1:9" x14ac:dyDescent="0.2">
      <c r="A924" s="704">
        <v>3111</v>
      </c>
      <c r="B924" s="704">
        <v>3111</v>
      </c>
      <c r="C924" s="704" t="s">
        <v>583</v>
      </c>
      <c r="D924" s="704" t="s">
        <v>544</v>
      </c>
      <c r="E924" s="704">
        <v>1</v>
      </c>
      <c r="F924" s="704">
        <v>100</v>
      </c>
      <c r="H924">
        <f t="shared" si="90"/>
        <v>3111</v>
      </c>
      <c r="I924" t="str">
        <f t="shared" si="91"/>
        <v>Greater Melbourne</v>
      </c>
    </row>
    <row r="925" spans="1:9" x14ac:dyDescent="0.2">
      <c r="A925" s="704">
        <v>3113</v>
      </c>
      <c r="B925" s="704">
        <v>3113</v>
      </c>
      <c r="C925" s="704" t="s">
        <v>583</v>
      </c>
      <c r="D925" s="704" t="s">
        <v>544</v>
      </c>
      <c r="E925" s="704">
        <v>1</v>
      </c>
      <c r="F925" s="704">
        <v>100</v>
      </c>
      <c r="H925">
        <f t="shared" si="90"/>
        <v>3113</v>
      </c>
      <c r="I925" t="str">
        <f t="shared" si="91"/>
        <v>Greater Melbourne</v>
      </c>
    </row>
    <row r="926" spans="1:9" x14ac:dyDescent="0.2">
      <c r="A926" s="704">
        <v>3114</v>
      </c>
      <c r="B926" s="704">
        <v>3114</v>
      </c>
      <c r="C926" s="704" t="s">
        <v>583</v>
      </c>
      <c r="D926" s="704" t="s">
        <v>544</v>
      </c>
      <c r="E926" s="704">
        <v>1</v>
      </c>
      <c r="F926" s="704">
        <v>100</v>
      </c>
      <c r="H926">
        <f t="shared" si="90"/>
        <v>3114</v>
      </c>
      <c r="I926" t="str">
        <f t="shared" si="91"/>
        <v>Greater Melbourne</v>
      </c>
    </row>
    <row r="927" spans="1:9" x14ac:dyDescent="0.2">
      <c r="A927" s="704">
        <v>3115</v>
      </c>
      <c r="B927" s="704">
        <v>3115</v>
      </c>
      <c r="C927" s="704" t="s">
        <v>583</v>
      </c>
      <c r="D927" s="704" t="s">
        <v>544</v>
      </c>
      <c r="E927" s="704">
        <v>1</v>
      </c>
      <c r="F927" s="704">
        <v>100</v>
      </c>
      <c r="H927">
        <f t="shared" si="90"/>
        <v>3115</v>
      </c>
      <c r="I927" t="str">
        <f t="shared" si="91"/>
        <v>Greater Melbourne</v>
      </c>
    </row>
    <row r="928" spans="1:9" x14ac:dyDescent="0.2">
      <c r="A928" s="704">
        <v>3116</v>
      </c>
      <c r="B928" s="704">
        <v>3116</v>
      </c>
      <c r="C928" s="704" t="s">
        <v>583</v>
      </c>
      <c r="D928" s="704" t="s">
        <v>544</v>
      </c>
      <c r="E928" s="704">
        <v>1</v>
      </c>
      <c r="F928" s="704">
        <v>100</v>
      </c>
      <c r="H928">
        <f t="shared" si="90"/>
        <v>3116</v>
      </c>
      <c r="I928" t="str">
        <f t="shared" si="91"/>
        <v>Greater Melbourne</v>
      </c>
    </row>
    <row r="929" spans="1:9" x14ac:dyDescent="0.2">
      <c r="A929" s="704">
        <v>3121</v>
      </c>
      <c r="B929" s="704">
        <v>3121</v>
      </c>
      <c r="C929" s="704" t="s">
        <v>583</v>
      </c>
      <c r="D929" s="704" t="s">
        <v>544</v>
      </c>
      <c r="E929" s="704">
        <v>1</v>
      </c>
      <c r="F929" s="704">
        <v>100</v>
      </c>
      <c r="H929">
        <f t="shared" si="90"/>
        <v>3121</v>
      </c>
      <c r="I929" t="str">
        <f t="shared" si="91"/>
        <v>Greater Melbourne</v>
      </c>
    </row>
    <row r="930" spans="1:9" x14ac:dyDescent="0.2">
      <c r="A930" s="704">
        <v>3122</v>
      </c>
      <c r="B930" s="704">
        <v>3122</v>
      </c>
      <c r="C930" s="704" t="s">
        <v>583</v>
      </c>
      <c r="D930" s="704" t="s">
        <v>544</v>
      </c>
      <c r="E930" s="704">
        <v>1</v>
      </c>
      <c r="F930" s="704">
        <v>100</v>
      </c>
      <c r="H930">
        <f t="shared" si="90"/>
        <v>3122</v>
      </c>
      <c r="I930" t="str">
        <f t="shared" si="91"/>
        <v>Greater Melbourne</v>
      </c>
    </row>
    <row r="931" spans="1:9" x14ac:dyDescent="0.2">
      <c r="A931" s="704">
        <v>3123</v>
      </c>
      <c r="B931" s="704">
        <v>3123</v>
      </c>
      <c r="C931" s="704" t="s">
        <v>583</v>
      </c>
      <c r="D931" s="704" t="s">
        <v>544</v>
      </c>
      <c r="E931" s="704">
        <v>1</v>
      </c>
      <c r="F931" s="704">
        <v>100</v>
      </c>
      <c r="H931">
        <f t="shared" si="90"/>
        <v>3123</v>
      </c>
      <c r="I931" t="str">
        <f t="shared" si="91"/>
        <v>Greater Melbourne</v>
      </c>
    </row>
    <row r="932" spans="1:9" x14ac:dyDescent="0.2">
      <c r="A932" s="704">
        <v>3124</v>
      </c>
      <c r="B932" s="704">
        <v>3124</v>
      </c>
      <c r="C932" s="704" t="s">
        <v>583</v>
      </c>
      <c r="D932" s="704" t="s">
        <v>544</v>
      </c>
      <c r="E932" s="704">
        <v>1</v>
      </c>
      <c r="F932" s="704">
        <v>100</v>
      </c>
      <c r="H932">
        <f t="shared" si="90"/>
        <v>3124</v>
      </c>
      <c r="I932" t="str">
        <f t="shared" si="91"/>
        <v>Greater Melbourne</v>
      </c>
    </row>
    <row r="933" spans="1:9" x14ac:dyDescent="0.2">
      <c r="A933" s="704">
        <v>3125</v>
      </c>
      <c r="B933" s="704">
        <v>3125</v>
      </c>
      <c r="C933" s="704" t="s">
        <v>583</v>
      </c>
      <c r="D933" s="704" t="s">
        <v>544</v>
      </c>
      <c r="E933" s="704">
        <v>1</v>
      </c>
      <c r="F933" s="704">
        <v>100</v>
      </c>
      <c r="H933">
        <f t="shared" si="90"/>
        <v>3125</v>
      </c>
      <c r="I933" t="str">
        <f t="shared" si="91"/>
        <v>Greater Melbourne</v>
      </c>
    </row>
    <row r="934" spans="1:9" x14ac:dyDescent="0.2">
      <c r="A934" s="704">
        <v>3126</v>
      </c>
      <c r="B934" s="704">
        <v>3126</v>
      </c>
      <c r="C934" s="704" t="s">
        <v>583</v>
      </c>
      <c r="D934" s="704" t="s">
        <v>544</v>
      </c>
      <c r="E934" s="704">
        <v>1</v>
      </c>
      <c r="F934" s="704">
        <v>100</v>
      </c>
      <c r="H934">
        <f t="shared" si="90"/>
        <v>3126</v>
      </c>
      <c r="I934" t="str">
        <f t="shared" si="91"/>
        <v>Greater Melbourne</v>
      </c>
    </row>
    <row r="935" spans="1:9" x14ac:dyDescent="0.2">
      <c r="A935" s="704">
        <v>3127</v>
      </c>
      <c r="B935" s="704">
        <v>3127</v>
      </c>
      <c r="C935" s="704" t="s">
        <v>583</v>
      </c>
      <c r="D935" s="704" t="s">
        <v>544</v>
      </c>
      <c r="E935" s="704">
        <v>1</v>
      </c>
      <c r="F935" s="704">
        <v>100</v>
      </c>
      <c r="H935">
        <f t="shared" si="90"/>
        <v>3127</v>
      </c>
      <c r="I935" t="str">
        <f t="shared" si="91"/>
        <v>Greater Melbourne</v>
      </c>
    </row>
    <row r="936" spans="1:9" x14ac:dyDescent="0.2">
      <c r="A936" s="704">
        <v>3128</v>
      </c>
      <c r="B936" s="704">
        <v>3128</v>
      </c>
      <c r="C936" s="704" t="s">
        <v>583</v>
      </c>
      <c r="D936" s="704" t="s">
        <v>544</v>
      </c>
      <c r="E936" s="704">
        <v>1</v>
      </c>
      <c r="F936" s="704">
        <v>100</v>
      </c>
      <c r="H936">
        <f t="shared" si="90"/>
        <v>3128</v>
      </c>
      <c r="I936" t="str">
        <f t="shared" si="91"/>
        <v>Greater Melbourne</v>
      </c>
    </row>
    <row r="937" spans="1:9" x14ac:dyDescent="0.2">
      <c r="A937" s="704">
        <v>3129</v>
      </c>
      <c r="B937" s="704">
        <v>3129</v>
      </c>
      <c r="C937" s="704" t="s">
        <v>583</v>
      </c>
      <c r="D937" s="704" t="s">
        <v>544</v>
      </c>
      <c r="E937" s="704">
        <v>1</v>
      </c>
      <c r="F937" s="704">
        <v>100</v>
      </c>
      <c r="H937">
        <f t="shared" si="90"/>
        <v>3129</v>
      </c>
      <c r="I937" t="str">
        <f t="shared" si="91"/>
        <v>Greater Melbourne</v>
      </c>
    </row>
    <row r="938" spans="1:9" x14ac:dyDescent="0.2">
      <c r="A938" s="704">
        <v>3130</v>
      </c>
      <c r="B938" s="704">
        <v>3130</v>
      </c>
      <c r="C938" s="704" t="s">
        <v>583</v>
      </c>
      <c r="D938" s="704" t="s">
        <v>544</v>
      </c>
      <c r="E938" s="704">
        <v>1</v>
      </c>
      <c r="F938" s="704">
        <v>100</v>
      </c>
      <c r="H938">
        <f t="shared" si="90"/>
        <v>3130</v>
      </c>
      <c r="I938" t="str">
        <f t="shared" si="91"/>
        <v>Greater Melbourne</v>
      </c>
    </row>
    <row r="939" spans="1:9" x14ac:dyDescent="0.2">
      <c r="A939" s="704">
        <v>3131</v>
      </c>
      <c r="B939" s="704">
        <v>3131</v>
      </c>
      <c r="C939" s="704" t="s">
        <v>583</v>
      </c>
      <c r="D939" s="704" t="s">
        <v>544</v>
      </c>
      <c r="E939" s="704">
        <v>1</v>
      </c>
      <c r="F939" s="704">
        <v>100</v>
      </c>
      <c r="H939">
        <f t="shared" si="90"/>
        <v>3131</v>
      </c>
      <c r="I939" t="str">
        <f t="shared" si="91"/>
        <v>Greater Melbourne</v>
      </c>
    </row>
    <row r="940" spans="1:9" x14ac:dyDescent="0.2">
      <c r="A940" s="704">
        <v>3132</v>
      </c>
      <c r="B940" s="704">
        <v>3132</v>
      </c>
      <c r="C940" s="704" t="s">
        <v>583</v>
      </c>
      <c r="D940" s="704" t="s">
        <v>544</v>
      </c>
      <c r="E940" s="704">
        <v>1</v>
      </c>
      <c r="F940" s="704">
        <v>100</v>
      </c>
      <c r="H940">
        <f t="shared" si="90"/>
        <v>3132</v>
      </c>
      <c r="I940" t="str">
        <f t="shared" si="91"/>
        <v>Greater Melbourne</v>
      </c>
    </row>
    <row r="941" spans="1:9" x14ac:dyDescent="0.2">
      <c r="A941" s="704">
        <v>3133</v>
      </c>
      <c r="B941" s="704">
        <v>3133</v>
      </c>
      <c r="C941" s="704" t="s">
        <v>583</v>
      </c>
      <c r="D941" s="704" t="s">
        <v>544</v>
      </c>
      <c r="E941" s="704">
        <v>1</v>
      </c>
      <c r="F941" s="704">
        <v>100</v>
      </c>
      <c r="H941">
        <f t="shared" si="90"/>
        <v>3133</v>
      </c>
      <c r="I941" t="str">
        <f t="shared" si="91"/>
        <v>Greater Melbourne</v>
      </c>
    </row>
    <row r="942" spans="1:9" x14ac:dyDescent="0.2">
      <c r="A942" s="704">
        <v>3134</v>
      </c>
      <c r="B942" s="704">
        <v>3134</v>
      </c>
      <c r="C942" s="704" t="s">
        <v>583</v>
      </c>
      <c r="D942" s="704" t="s">
        <v>544</v>
      </c>
      <c r="E942" s="704">
        <v>1</v>
      </c>
      <c r="F942" s="704">
        <v>100</v>
      </c>
      <c r="H942">
        <f t="shared" si="90"/>
        <v>3134</v>
      </c>
      <c r="I942" t="str">
        <f t="shared" si="91"/>
        <v>Greater Melbourne</v>
      </c>
    </row>
    <row r="943" spans="1:9" x14ac:dyDescent="0.2">
      <c r="A943" s="704">
        <v>3135</v>
      </c>
      <c r="B943" s="704">
        <v>3135</v>
      </c>
      <c r="C943" s="704" t="s">
        <v>583</v>
      </c>
      <c r="D943" s="704" t="s">
        <v>544</v>
      </c>
      <c r="E943" s="704">
        <v>1</v>
      </c>
      <c r="F943" s="704">
        <v>100</v>
      </c>
      <c r="H943">
        <f t="shared" si="90"/>
        <v>3135</v>
      </c>
      <c r="I943" t="str">
        <f t="shared" si="91"/>
        <v>Greater Melbourne</v>
      </c>
    </row>
    <row r="944" spans="1:9" x14ac:dyDescent="0.2">
      <c r="A944" s="704">
        <v>3136</v>
      </c>
      <c r="B944" s="704">
        <v>3136</v>
      </c>
      <c r="C944" s="704" t="s">
        <v>583</v>
      </c>
      <c r="D944" s="704" t="s">
        <v>544</v>
      </c>
      <c r="E944" s="704">
        <v>1</v>
      </c>
      <c r="F944" s="704">
        <v>100</v>
      </c>
      <c r="H944">
        <f t="shared" si="90"/>
        <v>3136</v>
      </c>
      <c r="I944" t="str">
        <f t="shared" si="91"/>
        <v>Greater Melbourne</v>
      </c>
    </row>
    <row r="945" spans="1:9" x14ac:dyDescent="0.2">
      <c r="A945" s="704">
        <v>3137</v>
      </c>
      <c r="B945" s="704">
        <v>3137</v>
      </c>
      <c r="C945" s="704" t="s">
        <v>583</v>
      </c>
      <c r="D945" s="704" t="s">
        <v>544</v>
      </c>
      <c r="E945" s="704">
        <v>1</v>
      </c>
      <c r="F945" s="704">
        <v>100</v>
      </c>
      <c r="H945">
        <f t="shared" si="90"/>
        <v>3137</v>
      </c>
      <c r="I945" t="str">
        <f t="shared" si="91"/>
        <v>Greater Melbourne</v>
      </c>
    </row>
    <row r="946" spans="1:9" x14ac:dyDescent="0.2">
      <c r="A946" s="704">
        <v>3138</v>
      </c>
      <c r="B946" s="704">
        <v>3138</v>
      </c>
      <c r="C946" s="704" t="s">
        <v>583</v>
      </c>
      <c r="D946" s="704" t="s">
        <v>544</v>
      </c>
      <c r="E946" s="704">
        <v>1</v>
      </c>
      <c r="F946" s="704">
        <v>100</v>
      </c>
      <c r="H946">
        <f t="shared" si="90"/>
        <v>3138</v>
      </c>
      <c r="I946" t="str">
        <f t="shared" si="91"/>
        <v>Greater Melbourne</v>
      </c>
    </row>
    <row r="947" spans="1:9" x14ac:dyDescent="0.2">
      <c r="A947" s="704">
        <v>3139</v>
      </c>
      <c r="B947" s="704">
        <v>3139</v>
      </c>
      <c r="C947" s="704" t="s">
        <v>583</v>
      </c>
      <c r="D947" s="704" t="s">
        <v>544</v>
      </c>
      <c r="E947" s="704">
        <v>1</v>
      </c>
      <c r="F947" s="704">
        <v>100</v>
      </c>
      <c r="H947">
        <f t="shared" si="90"/>
        <v>3139</v>
      </c>
      <c r="I947" t="str">
        <f t="shared" si="91"/>
        <v>Greater Melbourne</v>
      </c>
    </row>
    <row r="948" spans="1:9" x14ac:dyDescent="0.2">
      <c r="A948" s="704">
        <v>3140</v>
      </c>
      <c r="B948" s="704">
        <v>3140</v>
      </c>
      <c r="C948" s="704" t="s">
        <v>583</v>
      </c>
      <c r="D948" s="704" t="s">
        <v>544</v>
      </c>
      <c r="E948" s="704">
        <v>1</v>
      </c>
      <c r="F948" s="704">
        <v>100</v>
      </c>
      <c r="H948">
        <f t="shared" si="90"/>
        <v>3140</v>
      </c>
      <c r="I948" t="str">
        <f t="shared" si="91"/>
        <v>Greater Melbourne</v>
      </c>
    </row>
    <row r="949" spans="1:9" x14ac:dyDescent="0.2">
      <c r="A949" s="704">
        <v>3141</v>
      </c>
      <c r="B949" s="704">
        <v>3141</v>
      </c>
      <c r="C949" s="704" t="s">
        <v>583</v>
      </c>
      <c r="D949" s="704" t="s">
        <v>544</v>
      </c>
      <c r="E949" s="704">
        <v>1</v>
      </c>
      <c r="F949" s="704">
        <v>100</v>
      </c>
      <c r="H949">
        <f t="shared" si="90"/>
        <v>3141</v>
      </c>
      <c r="I949" t="str">
        <f t="shared" si="91"/>
        <v>Greater Melbourne</v>
      </c>
    </row>
    <row r="950" spans="1:9" x14ac:dyDescent="0.2">
      <c r="A950" s="704">
        <v>3142</v>
      </c>
      <c r="B950" s="704">
        <v>3142</v>
      </c>
      <c r="C950" s="704" t="s">
        <v>583</v>
      </c>
      <c r="D950" s="704" t="s">
        <v>544</v>
      </c>
      <c r="E950" s="704">
        <v>1</v>
      </c>
      <c r="F950" s="704">
        <v>100</v>
      </c>
      <c r="H950">
        <f t="shared" si="90"/>
        <v>3142</v>
      </c>
      <c r="I950" t="str">
        <f t="shared" si="91"/>
        <v>Greater Melbourne</v>
      </c>
    </row>
    <row r="951" spans="1:9" x14ac:dyDescent="0.2">
      <c r="A951" s="704">
        <v>3143</v>
      </c>
      <c r="B951" s="704">
        <v>3143</v>
      </c>
      <c r="C951" s="704" t="s">
        <v>583</v>
      </c>
      <c r="D951" s="704" t="s">
        <v>544</v>
      </c>
      <c r="E951" s="704">
        <v>1</v>
      </c>
      <c r="F951" s="704">
        <v>100</v>
      </c>
      <c r="H951">
        <f t="shared" si="90"/>
        <v>3143</v>
      </c>
      <c r="I951" t="str">
        <f t="shared" si="91"/>
        <v>Greater Melbourne</v>
      </c>
    </row>
    <row r="952" spans="1:9" x14ac:dyDescent="0.2">
      <c r="A952" s="704">
        <v>3144</v>
      </c>
      <c r="B952" s="704">
        <v>3144</v>
      </c>
      <c r="C952" s="704" t="s">
        <v>583</v>
      </c>
      <c r="D952" s="704" t="s">
        <v>544</v>
      </c>
      <c r="E952" s="704">
        <v>1</v>
      </c>
      <c r="F952" s="704">
        <v>100</v>
      </c>
      <c r="H952">
        <f t="shared" si="90"/>
        <v>3144</v>
      </c>
      <c r="I952" t="str">
        <f t="shared" si="91"/>
        <v>Greater Melbourne</v>
      </c>
    </row>
    <row r="953" spans="1:9" x14ac:dyDescent="0.2">
      <c r="A953" s="704">
        <v>3145</v>
      </c>
      <c r="B953" s="704">
        <v>3145</v>
      </c>
      <c r="C953" s="704" t="s">
        <v>583</v>
      </c>
      <c r="D953" s="704" t="s">
        <v>544</v>
      </c>
      <c r="E953" s="704">
        <v>1</v>
      </c>
      <c r="F953" s="704">
        <v>100</v>
      </c>
      <c r="H953">
        <f t="shared" ref="H953:H1016" si="92">A953*1</f>
        <v>3145</v>
      </c>
      <c r="I953" t="str">
        <f t="shared" ref="I953:I1016" si="93">D953</f>
        <v>Greater Melbourne</v>
      </c>
    </row>
    <row r="954" spans="1:9" x14ac:dyDescent="0.2">
      <c r="A954" s="704">
        <v>3146</v>
      </c>
      <c r="B954" s="704">
        <v>3146</v>
      </c>
      <c r="C954" s="704" t="s">
        <v>583</v>
      </c>
      <c r="D954" s="704" t="s">
        <v>544</v>
      </c>
      <c r="E954" s="704">
        <v>1</v>
      </c>
      <c r="F954" s="704">
        <v>100</v>
      </c>
      <c r="H954">
        <f t="shared" si="92"/>
        <v>3146</v>
      </c>
      <c r="I954" t="str">
        <f t="shared" si="93"/>
        <v>Greater Melbourne</v>
      </c>
    </row>
    <row r="955" spans="1:9" x14ac:dyDescent="0.2">
      <c r="A955" s="704">
        <v>3147</v>
      </c>
      <c r="B955" s="704">
        <v>3147</v>
      </c>
      <c r="C955" s="704" t="s">
        <v>583</v>
      </c>
      <c r="D955" s="704" t="s">
        <v>544</v>
      </c>
      <c r="E955" s="704">
        <v>1</v>
      </c>
      <c r="F955" s="704">
        <v>100</v>
      </c>
      <c r="H955">
        <f t="shared" si="92"/>
        <v>3147</v>
      </c>
      <c r="I955" t="str">
        <f t="shared" si="93"/>
        <v>Greater Melbourne</v>
      </c>
    </row>
    <row r="956" spans="1:9" x14ac:dyDescent="0.2">
      <c r="A956" s="704">
        <v>3148</v>
      </c>
      <c r="B956" s="704">
        <v>3148</v>
      </c>
      <c r="C956" s="704" t="s">
        <v>583</v>
      </c>
      <c r="D956" s="704" t="s">
        <v>544</v>
      </c>
      <c r="E956" s="704">
        <v>1</v>
      </c>
      <c r="F956" s="704">
        <v>100</v>
      </c>
      <c r="H956">
        <f t="shared" si="92"/>
        <v>3148</v>
      </c>
      <c r="I956" t="str">
        <f t="shared" si="93"/>
        <v>Greater Melbourne</v>
      </c>
    </row>
    <row r="957" spans="1:9" x14ac:dyDescent="0.2">
      <c r="A957" s="704">
        <v>3149</v>
      </c>
      <c r="B957" s="704">
        <v>3149</v>
      </c>
      <c r="C957" s="704" t="s">
        <v>583</v>
      </c>
      <c r="D957" s="704" t="s">
        <v>544</v>
      </c>
      <c r="E957" s="704">
        <v>1</v>
      </c>
      <c r="F957" s="704">
        <v>100</v>
      </c>
      <c r="H957">
        <f t="shared" si="92"/>
        <v>3149</v>
      </c>
      <c r="I957" t="str">
        <f t="shared" si="93"/>
        <v>Greater Melbourne</v>
      </c>
    </row>
    <row r="958" spans="1:9" x14ac:dyDescent="0.2">
      <c r="A958" s="704">
        <v>3150</v>
      </c>
      <c r="B958" s="704">
        <v>3150</v>
      </c>
      <c r="C958" s="704" t="s">
        <v>583</v>
      </c>
      <c r="D958" s="704" t="s">
        <v>544</v>
      </c>
      <c r="E958" s="704">
        <v>1</v>
      </c>
      <c r="F958" s="704">
        <v>100</v>
      </c>
      <c r="H958">
        <f t="shared" si="92"/>
        <v>3150</v>
      </c>
      <c r="I958" t="str">
        <f t="shared" si="93"/>
        <v>Greater Melbourne</v>
      </c>
    </row>
    <row r="959" spans="1:9" x14ac:dyDescent="0.2">
      <c r="A959" s="704">
        <v>3151</v>
      </c>
      <c r="B959" s="704">
        <v>3151</v>
      </c>
      <c r="C959" s="704" t="s">
        <v>583</v>
      </c>
      <c r="D959" s="704" t="s">
        <v>544</v>
      </c>
      <c r="E959" s="704">
        <v>1</v>
      </c>
      <c r="F959" s="704">
        <v>100</v>
      </c>
      <c r="H959">
        <f t="shared" si="92"/>
        <v>3151</v>
      </c>
      <c r="I959" t="str">
        <f t="shared" si="93"/>
        <v>Greater Melbourne</v>
      </c>
    </row>
    <row r="960" spans="1:9" x14ac:dyDescent="0.2">
      <c r="A960" s="704">
        <v>3152</v>
      </c>
      <c r="B960" s="704">
        <v>3152</v>
      </c>
      <c r="C960" s="704" t="s">
        <v>583</v>
      </c>
      <c r="D960" s="704" t="s">
        <v>544</v>
      </c>
      <c r="E960" s="704">
        <v>1</v>
      </c>
      <c r="F960" s="704">
        <v>100</v>
      </c>
      <c r="H960">
        <f t="shared" si="92"/>
        <v>3152</v>
      </c>
      <c r="I960" t="str">
        <f t="shared" si="93"/>
        <v>Greater Melbourne</v>
      </c>
    </row>
    <row r="961" spans="1:9" x14ac:dyDescent="0.2">
      <c r="A961" s="704">
        <v>3153</v>
      </c>
      <c r="B961" s="704">
        <v>3153</v>
      </c>
      <c r="C961" s="704" t="s">
        <v>583</v>
      </c>
      <c r="D961" s="704" t="s">
        <v>544</v>
      </c>
      <c r="E961" s="704">
        <v>1</v>
      </c>
      <c r="F961" s="704">
        <v>100</v>
      </c>
      <c r="H961">
        <f t="shared" si="92"/>
        <v>3153</v>
      </c>
      <c r="I961" t="str">
        <f t="shared" si="93"/>
        <v>Greater Melbourne</v>
      </c>
    </row>
    <row r="962" spans="1:9" x14ac:dyDescent="0.2">
      <c r="A962" s="704">
        <v>3154</v>
      </c>
      <c r="B962" s="704">
        <v>3154</v>
      </c>
      <c r="C962" s="704" t="s">
        <v>583</v>
      </c>
      <c r="D962" s="704" t="s">
        <v>544</v>
      </c>
      <c r="E962" s="704">
        <v>1</v>
      </c>
      <c r="F962" s="704">
        <v>100</v>
      </c>
      <c r="H962">
        <f t="shared" si="92"/>
        <v>3154</v>
      </c>
      <c r="I962" t="str">
        <f t="shared" si="93"/>
        <v>Greater Melbourne</v>
      </c>
    </row>
    <row r="963" spans="1:9" x14ac:dyDescent="0.2">
      <c r="A963" s="704">
        <v>3155</v>
      </c>
      <c r="B963" s="704">
        <v>3155</v>
      </c>
      <c r="C963" s="704" t="s">
        <v>583</v>
      </c>
      <c r="D963" s="704" t="s">
        <v>544</v>
      </c>
      <c r="E963" s="704">
        <v>1</v>
      </c>
      <c r="F963" s="704">
        <v>100</v>
      </c>
      <c r="H963">
        <f t="shared" si="92"/>
        <v>3155</v>
      </c>
      <c r="I963" t="str">
        <f t="shared" si="93"/>
        <v>Greater Melbourne</v>
      </c>
    </row>
    <row r="964" spans="1:9" x14ac:dyDescent="0.2">
      <c r="A964" s="704">
        <v>3156</v>
      </c>
      <c r="B964" s="704">
        <v>3156</v>
      </c>
      <c r="C964" s="704" t="s">
        <v>583</v>
      </c>
      <c r="D964" s="704" t="s">
        <v>544</v>
      </c>
      <c r="E964" s="704">
        <v>1</v>
      </c>
      <c r="F964" s="704">
        <v>100</v>
      </c>
      <c r="H964">
        <f t="shared" si="92"/>
        <v>3156</v>
      </c>
      <c r="I964" t="str">
        <f t="shared" si="93"/>
        <v>Greater Melbourne</v>
      </c>
    </row>
    <row r="965" spans="1:9" x14ac:dyDescent="0.2">
      <c r="A965" s="704">
        <v>3158</v>
      </c>
      <c r="B965" s="704">
        <v>3158</v>
      </c>
      <c r="C965" s="704" t="s">
        <v>583</v>
      </c>
      <c r="D965" s="704" t="s">
        <v>544</v>
      </c>
      <c r="E965" s="704">
        <v>1</v>
      </c>
      <c r="F965" s="704">
        <v>100</v>
      </c>
      <c r="H965">
        <f t="shared" si="92"/>
        <v>3158</v>
      </c>
      <c r="I965" t="str">
        <f t="shared" si="93"/>
        <v>Greater Melbourne</v>
      </c>
    </row>
    <row r="966" spans="1:9" x14ac:dyDescent="0.2">
      <c r="A966" s="704">
        <v>3159</v>
      </c>
      <c r="B966" s="704">
        <v>3159</v>
      </c>
      <c r="C966" s="704" t="s">
        <v>583</v>
      </c>
      <c r="D966" s="704" t="s">
        <v>544</v>
      </c>
      <c r="E966" s="704">
        <v>1</v>
      </c>
      <c r="F966" s="704">
        <v>100</v>
      </c>
      <c r="H966">
        <f t="shared" si="92"/>
        <v>3159</v>
      </c>
      <c r="I966" t="str">
        <f t="shared" si="93"/>
        <v>Greater Melbourne</v>
      </c>
    </row>
    <row r="967" spans="1:9" x14ac:dyDescent="0.2">
      <c r="A967" s="704">
        <v>3160</v>
      </c>
      <c r="B967" s="704">
        <v>3160</v>
      </c>
      <c r="C967" s="704" t="s">
        <v>583</v>
      </c>
      <c r="D967" s="704" t="s">
        <v>544</v>
      </c>
      <c r="E967" s="704">
        <v>1</v>
      </c>
      <c r="F967" s="704">
        <v>100</v>
      </c>
      <c r="H967">
        <f t="shared" si="92"/>
        <v>3160</v>
      </c>
      <c r="I967" t="str">
        <f t="shared" si="93"/>
        <v>Greater Melbourne</v>
      </c>
    </row>
    <row r="968" spans="1:9" x14ac:dyDescent="0.2">
      <c r="A968" s="704">
        <v>3161</v>
      </c>
      <c r="B968" s="704">
        <v>3161</v>
      </c>
      <c r="C968" s="704" t="s">
        <v>583</v>
      </c>
      <c r="D968" s="704" t="s">
        <v>544</v>
      </c>
      <c r="E968" s="704">
        <v>1</v>
      </c>
      <c r="F968" s="704">
        <v>100</v>
      </c>
      <c r="H968">
        <f t="shared" si="92"/>
        <v>3161</v>
      </c>
      <c r="I968" t="str">
        <f t="shared" si="93"/>
        <v>Greater Melbourne</v>
      </c>
    </row>
    <row r="969" spans="1:9" x14ac:dyDescent="0.2">
      <c r="A969" s="704">
        <v>3162</v>
      </c>
      <c r="B969" s="704">
        <v>3162</v>
      </c>
      <c r="C969" s="704" t="s">
        <v>583</v>
      </c>
      <c r="D969" s="704" t="s">
        <v>544</v>
      </c>
      <c r="E969" s="704">
        <v>1</v>
      </c>
      <c r="F969" s="704">
        <v>100</v>
      </c>
      <c r="H969">
        <f t="shared" si="92"/>
        <v>3162</v>
      </c>
      <c r="I969" t="str">
        <f t="shared" si="93"/>
        <v>Greater Melbourne</v>
      </c>
    </row>
    <row r="970" spans="1:9" x14ac:dyDescent="0.2">
      <c r="A970" s="704">
        <v>3163</v>
      </c>
      <c r="B970" s="704">
        <v>3163</v>
      </c>
      <c r="C970" s="704" t="s">
        <v>583</v>
      </c>
      <c r="D970" s="704" t="s">
        <v>544</v>
      </c>
      <c r="E970" s="704">
        <v>1</v>
      </c>
      <c r="F970" s="704">
        <v>100</v>
      </c>
      <c r="H970">
        <f t="shared" si="92"/>
        <v>3163</v>
      </c>
      <c r="I970" t="str">
        <f t="shared" si="93"/>
        <v>Greater Melbourne</v>
      </c>
    </row>
    <row r="971" spans="1:9" x14ac:dyDescent="0.2">
      <c r="A971" s="704">
        <v>3165</v>
      </c>
      <c r="B971" s="704">
        <v>3165</v>
      </c>
      <c r="C971" s="704" t="s">
        <v>583</v>
      </c>
      <c r="D971" s="704" t="s">
        <v>544</v>
      </c>
      <c r="E971" s="704">
        <v>1</v>
      </c>
      <c r="F971" s="704">
        <v>100</v>
      </c>
      <c r="H971">
        <f t="shared" si="92"/>
        <v>3165</v>
      </c>
      <c r="I971" t="str">
        <f t="shared" si="93"/>
        <v>Greater Melbourne</v>
      </c>
    </row>
    <row r="972" spans="1:9" x14ac:dyDescent="0.2">
      <c r="A972" s="704">
        <v>3166</v>
      </c>
      <c r="B972" s="704">
        <v>3166</v>
      </c>
      <c r="C972" s="704" t="s">
        <v>583</v>
      </c>
      <c r="D972" s="704" t="s">
        <v>544</v>
      </c>
      <c r="E972" s="704">
        <v>1</v>
      </c>
      <c r="F972" s="704">
        <v>100</v>
      </c>
      <c r="H972">
        <f t="shared" si="92"/>
        <v>3166</v>
      </c>
      <c r="I972" t="str">
        <f t="shared" si="93"/>
        <v>Greater Melbourne</v>
      </c>
    </row>
    <row r="973" spans="1:9" x14ac:dyDescent="0.2">
      <c r="A973" s="704">
        <v>3167</v>
      </c>
      <c r="B973" s="704">
        <v>3167</v>
      </c>
      <c r="C973" s="704" t="s">
        <v>583</v>
      </c>
      <c r="D973" s="704" t="s">
        <v>544</v>
      </c>
      <c r="E973" s="704">
        <v>1</v>
      </c>
      <c r="F973" s="704">
        <v>100</v>
      </c>
      <c r="H973">
        <f t="shared" si="92"/>
        <v>3167</v>
      </c>
      <c r="I973" t="str">
        <f t="shared" si="93"/>
        <v>Greater Melbourne</v>
      </c>
    </row>
    <row r="974" spans="1:9" x14ac:dyDescent="0.2">
      <c r="A974" s="704">
        <v>3168</v>
      </c>
      <c r="B974" s="704">
        <v>3168</v>
      </c>
      <c r="C974" s="704" t="s">
        <v>583</v>
      </c>
      <c r="D974" s="704" t="s">
        <v>544</v>
      </c>
      <c r="E974" s="704">
        <v>1</v>
      </c>
      <c r="F974" s="704">
        <v>100</v>
      </c>
      <c r="H974">
        <f t="shared" si="92"/>
        <v>3168</v>
      </c>
      <c r="I974" t="str">
        <f t="shared" si="93"/>
        <v>Greater Melbourne</v>
      </c>
    </row>
    <row r="975" spans="1:9" x14ac:dyDescent="0.2">
      <c r="A975" s="704">
        <v>3169</v>
      </c>
      <c r="B975" s="704">
        <v>3169</v>
      </c>
      <c r="C975" s="704" t="s">
        <v>583</v>
      </c>
      <c r="D975" s="704" t="s">
        <v>544</v>
      </c>
      <c r="E975" s="704">
        <v>1</v>
      </c>
      <c r="F975" s="704">
        <v>100</v>
      </c>
      <c r="H975">
        <f t="shared" si="92"/>
        <v>3169</v>
      </c>
      <c r="I975" t="str">
        <f t="shared" si="93"/>
        <v>Greater Melbourne</v>
      </c>
    </row>
    <row r="976" spans="1:9" x14ac:dyDescent="0.2">
      <c r="A976" s="704">
        <v>3170</v>
      </c>
      <c r="B976" s="704">
        <v>3170</v>
      </c>
      <c r="C976" s="704" t="s">
        <v>583</v>
      </c>
      <c r="D976" s="704" t="s">
        <v>544</v>
      </c>
      <c r="E976" s="704">
        <v>1</v>
      </c>
      <c r="F976" s="704">
        <v>100</v>
      </c>
      <c r="H976">
        <f t="shared" si="92"/>
        <v>3170</v>
      </c>
      <c r="I976" t="str">
        <f t="shared" si="93"/>
        <v>Greater Melbourne</v>
      </c>
    </row>
    <row r="977" spans="1:9" x14ac:dyDescent="0.2">
      <c r="A977" s="704">
        <v>3171</v>
      </c>
      <c r="B977" s="704">
        <v>3171</v>
      </c>
      <c r="C977" s="704" t="s">
        <v>583</v>
      </c>
      <c r="D977" s="704" t="s">
        <v>544</v>
      </c>
      <c r="E977" s="704">
        <v>1</v>
      </c>
      <c r="F977" s="704">
        <v>100</v>
      </c>
      <c r="H977">
        <f t="shared" si="92"/>
        <v>3171</v>
      </c>
      <c r="I977" t="str">
        <f t="shared" si="93"/>
        <v>Greater Melbourne</v>
      </c>
    </row>
    <row r="978" spans="1:9" x14ac:dyDescent="0.2">
      <c r="A978" s="704">
        <v>3172</v>
      </c>
      <c r="B978" s="704">
        <v>3172</v>
      </c>
      <c r="C978" s="704" t="s">
        <v>583</v>
      </c>
      <c r="D978" s="704" t="s">
        <v>544</v>
      </c>
      <c r="E978" s="704">
        <v>1</v>
      </c>
      <c r="F978" s="704">
        <v>100</v>
      </c>
      <c r="H978">
        <f t="shared" si="92"/>
        <v>3172</v>
      </c>
      <c r="I978" t="str">
        <f t="shared" si="93"/>
        <v>Greater Melbourne</v>
      </c>
    </row>
    <row r="979" spans="1:9" x14ac:dyDescent="0.2">
      <c r="A979" s="704">
        <v>3173</v>
      </c>
      <c r="B979" s="704">
        <v>3173</v>
      </c>
      <c r="C979" s="704" t="s">
        <v>583</v>
      </c>
      <c r="D979" s="704" t="s">
        <v>544</v>
      </c>
      <c r="E979" s="704">
        <v>1</v>
      </c>
      <c r="F979" s="704">
        <v>100</v>
      </c>
      <c r="H979">
        <f t="shared" si="92"/>
        <v>3173</v>
      </c>
      <c r="I979" t="str">
        <f t="shared" si="93"/>
        <v>Greater Melbourne</v>
      </c>
    </row>
    <row r="980" spans="1:9" x14ac:dyDescent="0.2">
      <c r="A980" s="704">
        <v>3174</v>
      </c>
      <c r="B980" s="704">
        <v>3174</v>
      </c>
      <c r="C980" s="704" t="s">
        <v>583</v>
      </c>
      <c r="D980" s="704" t="s">
        <v>544</v>
      </c>
      <c r="E980" s="704">
        <v>1</v>
      </c>
      <c r="F980" s="704">
        <v>100</v>
      </c>
      <c r="H980">
        <f t="shared" si="92"/>
        <v>3174</v>
      </c>
      <c r="I980" t="str">
        <f t="shared" si="93"/>
        <v>Greater Melbourne</v>
      </c>
    </row>
    <row r="981" spans="1:9" x14ac:dyDescent="0.2">
      <c r="A981" s="704">
        <v>3175</v>
      </c>
      <c r="B981" s="704">
        <v>3175</v>
      </c>
      <c r="C981" s="704" t="s">
        <v>583</v>
      </c>
      <c r="D981" s="704" t="s">
        <v>544</v>
      </c>
      <c r="E981" s="704">
        <v>1</v>
      </c>
      <c r="F981" s="704">
        <v>100</v>
      </c>
      <c r="H981">
        <f t="shared" si="92"/>
        <v>3175</v>
      </c>
      <c r="I981" t="str">
        <f t="shared" si="93"/>
        <v>Greater Melbourne</v>
      </c>
    </row>
    <row r="982" spans="1:9" x14ac:dyDescent="0.2">
      <c r="A982" s="704">
        <v>3177</v>
      </c>
      <c r="B982" s="704">
        <v>3177</v>
      </c>
      <c r="C982" s="704" t="s">
        <v>583</v>
      </c>
      <c r="D982" s="704" t="s">
        <v>544</v>
      </c>
      <c r="E982" s="704">
        <v>1</v>
      </c>
      <c r="F982" s="704">
        <v>100</v>
      </c>
      <c r="H982">
        <f t="shared" si="92"/>
        <v>3177</v>
      </c>
      <c r="I982" t="str">
        <f t="shared" si="93"/>
        <v>Greater Melbourne</v>
      </c>
    </row>
    <row r="983" spans="1:9" x14ac:dyDescent="0.2">
      <c r="A983" s="704">
        <v>3178</v>
      </c>
      <c r="B983" s="704">
        <v>3178</v>
      </c>
      <c r="C983" s="704" t="s">
        <v>583</v>
      </c>
      <c r="D983" s="704" t="s">
        <v>544</v>
      </c>
      <c r="E983" s="704">
        <v>1</v>
      </c>
      <c r="F983" s="704">
        <v>100</v>
      </c>
      <c r="H983">
        <f t="shared" si="92"/>
        <v>3178</v>
      </c>
      <c r="I983" t="str">
        <f t="shared" si="93"/>
        <v>Greater Melbourne</v>
      </c>
    </row>
    <row r="984" spans="1:9" x14ac:dyDescent="0.2">
      <c r="A984" s="704">
        <v>3179</v>
      </c>
      <c r="B984" s="704">
        <v>3179</v>
      </c>
      <c r="C984" s="704" t="s">
        <v>583</v>
      </c>
      <c r="D984" s="704" t="s">
        <v>544</v>
      </c>
      <c r="E984" s="704">
        <v>1</v>
      </c>
      <c r="F984" s="704">
        <v>100</v>
      </c>
      <c r="H984">
        <f t="shared" si="92"/>
        <v>3179</v>
      </c>
      <c r="I984" t="str">
        <f t="shared" si="93"/>
        <v>Greater Melbourne</v>
      </c>
    </row>
    <row r="985" spans="1:9" x14ac:dyDescent="0.2">
      <c r="A985" s="704">
        <v>3180</v>
      </c>
      <c r="B985" s="704">
        <v>3180</v>
      </c>
      <c r="C985" s="704" t="s">
        <v>583</v>
      </c>
      <c r="D985" s="704" t="s">
        <v>544</v>
      </c>
      <c r="E985" s="704">
        <v>1</v>
      </c>
      <c r="F985" s="704">
        <v>100</v>
      </c>
      <c r="H985">
        <f t="shared" si="92"/>
        <v>3180</v>
      </c>
      <c r="I985" t="str">
        <f t="shared" si="93"/>
        <v>Greater Melbourne</v>
      </c>
    </row>
    <row r="986" spans="1:9" x14ac:dyDescent="0.2">
      <c r="A986" s="704">
        <v>3181</v>
      </c>
      <c r="B986" s="704">
        <v>3181</v>
      </c>
      <c r="C986" s="704" t="s">
        <v>583</v>
      </c>
      <c r="D986" s="704" t="s">
        <v>544</v>
      </c>
      <c r="E986" s="704">
        <v>1</v>
      </c>
      <c r="F986" s="704">
        <v>100</v>
      </c>
      <c r="H986">
        <f t="shared" si="92"/>
        <v>3181</v>
      </c>
      <c r="I986" t="str">
        <f t="shared" si="93"/>
        <v>Greater Melbourne</v>
      </c>
    </row>
    <row r="987" spans="1:9" x14ac:dyDescent="0.2">
      <c r="A987" s="704">
        <v>3182</v>
      </c>
      <c r="B987" s="704">
        <v>3182</v>
      </c>
      <c r="C987" s="704" t="s">
        <v>583</v>
      </c>
      <c r="D987" s="704" t="s">
        <v>544</v>
      </c>
      <c r="E987" s="704">
        <v>1</v>
      </c>
      <c r="F987" s="704">
        <v>100</v>
      </c>
      <c r="H987">
        <f t="shared" si="92"/>
        <v>3182</v>
      </c>
      <c r="I987" t="str">
        <f t="shared" si="93"/>
        <v>Greater Melbourne</v>
      </c>
    </row>
    <row r="988" spans="1:9" x14ac:dyDescent="0.2">
      <c r="A988" s="704">
        <v>3183</v>
      </c>
      <c r="B988" s="704">
        <v>3183</v>
      </c>
      <c r="C988" s="704" t="s">
        <v>583</v>
      </c>
      <c r="D988" s="704" t="s">
        <v>544</v>
      </c>
      <c r="E988" s="704">
        <v>1</v>
      </c>
      <c r="F988" s="704">
        <v>100</v>
      </c>
      <c r="H988">
        <f t="shared" si="92"/>
        <v>3183</v>
      </c>
      <c r="I988" t="str">
        <f t="shared" si="93"/>
        <v>Greater Melbourne</v>
      </c>
    </row>
    <row r="989" spans="1:9" x14ac:dyDescent="0.2">
      <c r="A989" s="704">
        <v>3184</v>
      </c>
      <c r="B989" s="704">
        <v>3184</v>
      </c>
      <c r="C989" s="704" t="s">
        <v>583</v>
      </c>
      <c r="D989" s="704" t="s">
        <v>544</v>
      </c>
      <c r="E989" s="704">
        <v>1</v>
      </c>
      <c r="F989" s="704">
        <v>100</v>
      </c>
      <c r="H989">
        <f t="shared" si="92"/>
        <v>3184</v>
      </c>
      <c r="I989" t="str">
        <f t="shared" si="93"/>
        <v>Greater Melbourne</v>
      </c>
    </row>
    <row r="990" spans="1:9" x14ac:dyDescent="0.2">
      <c r="A990" s="704">
        <v>3185</v>
      </c>
      <c r="B990" s="704">
        <v>3185</v>
      </c>
      <c r="C990" s="704" t="s">
        <v>583</v>
      </c>
      <c r="D990" s="704" t="s">
        <v>544</v>
      </c>
      <c r="E990" s="704">
        <v>1</v>
      </c>
      <c r="F990" s="704">
        <v>100</v>
      </c>
      <c r="H990">
        <f t="shared" si="92"/>
        <v>3185</v>
      </c>
      <c r="I990" t="str">
        <f t="shared" si="93"/>
        <v>Greater Melbourne</v>
      </c>
    </row>
    <row r="991" spans="1:9" x14ac:dyDescent="0.2">
      <c r="A991" s="704">
        <v>3186</v>
      </c>
      <c r="B991" s="704">
        <v>3186</v>
      </c>
      <c r="C991" s="704" t="s">
        <v>583</v>
      </c>
      <c r="D991" s="704" t="s">
        <v>544</v>
      </c>
      <c r="E991" s="704">
        <v>1</v>
      </c>
      <c r="F991" s="704">
        <v>100</v>
      </c>
      <c r="H991">
        <f t="shared" si="92"/>
        <v>3186</v>
      </c>
      <c r="I991" t="str">
        <f t="shared" si="93"/>
        <v>Greater Melbourne</v>
      </c>
    </row>
    <row r="992" spans="1:9" x14ac:dyDescent="0.2">
      <c r="A992" s="704">
        <v>3187</v>
      </c>
      <c r="B992" s="704">
        <v>3187</v>
      </c>
      <c r="C992" s="704" t="s">
        <v>583</v>
      </c>
      <c r="D992" s="704" t="s">
        <v>544</v>
      </c>
      <c r="E992" s="704">
        <v>1</v>
      </c>
      <c r="F992" s="704">
        <v>100</v>
      </c>
      <c r="H992">
        <f t="shared" si="92"/>
        <v>3187</v>
      </c>
      <c r="I992" t="str">
        <f t="shared" si="93"/>
        <v>Greater Melbourne</v>
      </c>
    </row>
    <row r="993" spans="1:9" x14ac:dyDescent="0.2">
      <c r="A993" s="704">
        <v>3188</v>
      </c>
      <c r="B993" s="704">
        <v>3188</v>
      </c>
      <c r="C993" s="704" t="s">
        <v>583</v>
      </c>
      <c r="D993" s="704" t="s">
        <v>544</v>
      </c>
      <c r="E993" s="704">
        <v>1</v>
      </c>
      <c r="F993" s="704">
        <v>100</v>
      </c>
      <c r="H993">
        <f t="shared" si="92"/>
        <v>3188</v>
      </c>
      <c r="I993" t="str">
        <f t="shared" si="93"/>
        <v>Greater Melbourne</v>
      </c>
    </row>
    <row r="994" spans="1:9" x14ac:dyDescent="0.2">
      <c r="A994" s="704">
        <v>3189</v>
      </c>
      <c r="B994" s="704">
        <v>3189</v>
      </c>
      <c r="C994" s="704" t="s">
        <v>583</v>
      </c>
      <c r="D994" s="704" t="s">
        <v>544</v>
      </c>
      <c r="E994" s="704">
        <v>1</v>
      </c>
      <c r="F994" s="704">
        <v>100</v>
      </c>
      <c r="H994">
        <f t="shared" si="92"/>
        <v>3189</v>
      </c>
      <c r="I994" t="str">
        <f t="shared" si="93"/>
        <v>Greater Melbourne</v>
      </c>
    </row>
    <row r="995" spans="1:9" x14ac:dyDescent="0.2">
      <c r="A995" s="704">
        <v>3190</v>
      </c>
      <c r="B995" s="704">
        <v>3190</v>
      </c>
      <c r="C995" s="704" t="s">
        <v>583</v>
      </c>
      <c r="D995" s="704" t="s">
        <v>544</v>
      </c>
      <c r="E995" s="704">
        <v>1</v>
      </c>
      <c r="F995" s="704">
        <v>100</v>
      </c>
      <c r="H995">
        <f t="shared" si="92"/>
        <v>3190</v>
      </c>
      <c r="I995" t="str">
        <f t="shared" si="93"/>
        <v>Greater Melbourne</v>
      </c>
    </row>
    <row r="996" spans="1:9" x14ac:dyDescent="0.2">
      <c r="A996" s="704">
        <v>3191</v>
      </c>
      <c r="B996" s="704">
        <v>3191</v>
      </c>
      <c r="C996" s="704" t="s">
        <v>583</v>
      </c>
      <c r="D996" s="704" t="s">
        <v>544</v>
      </c>
      <c r="E996" s="704">
        <v>1</v>
      </c>
      <c r="F996" s="704">
        <v>100</v>
      </c>
      <c r="H996">
        <f t="shared" si="92"/>
        <v>3191</v>
      </c>
      <c r="I996" t="str">
        <f t="shared" si="93"/>
        <v>Greater Melbourne</v>
      </c>
    </row>
    <row r="997" spans="1:9" x14ac:dyDescent="0.2">
      <c r="A997" s="704">
        <v>3192</v>
      </c>
      <c r="B997" s="704">
        <v>3192</v>
      </c>
      <c r="C997" s="704" t="s">
        <v>583</v>
      </c>
      <c r="D997" s="704" t="s">
        <v>544</v>
      </c>
      <c r="E997" s="704">
        <v>1</v>
      </c>
      <c r="F997" s="704">
        <v>100</v>
      </c>
      <c r="H997">
        <f t="shared" si="92"/>
        <v>3192</v>
      </c>
      <c r="I997" t="str">
        <f t="shared" si="93"/>
        <v>Greater Melbourne</v>
      </c>
    </row>
    <row r="998" spans="1:9" x14ac:dyDescent="0.2">
      <c r="A998" s="704">
        <v>3193</v>
      </c>
      <c r="B998" s="704">
        <v>3193</v>
      </c>
      <c r="C998" s="704" t="s">
        <v>583</v>
      </c>
      <c r="D998" s="704" t="s">
        <v>544</v>
      </c>
      <c r="E998" s="704">
        <v>0.99968400000000002</v>
      </c>
      <c r="F998" s="704">
        <v>99.968400000000003</v>
      </c>
      <c r="H998">
        <f t="shared" si="92"/>
        <v>3193</v>
      </c>
      <c r="I998" t="str">
        <f t="shared" si="93"/>
        <v>Greater Melbourne</v>
      </c>
    </row>
    <row r="999" spans="1:9" x14ac:dyDescent="0.2">
      <c r="A999" s="704">
        <v>3194</v>
      </c>
      <c r="B999" s="704">
        <v>3194</v>
      </c>
      <c r="C999" s="704" t="s">
        <v>583</v>
      </c>
      <c r="D999" s="704" t="s">
        <v>544</v>
      </c>
      <c r="E999" s="704">
        <v>1</v>
      </c>
      <c r="F999" s="704">
        <v>100</v>
      </c>
      <c r="H999">
        <f t="shared" si="92"/>
        <v>3194</v>
      </c>
      <c r="I999" t="str">
        <f t="shared" si="93"/>
        <v>Greater Melbourne</v>
      </c>
    </row>
    <row r="1000" spans="1:9" x14ac:dyDescent="0.2">
      <c r="A1000" s="704">
        <v>3195</v>
      </c>
      <c r="B1000" s="704">
        <v>3195</v>
      </c>
      <c r="C1000" s="704" t="s">
        <v>583</v>
      </c>
      <c r="D1000" s="704" t="s">
        <v>544</v>
      </c>
      <c r="E1000" s="704">
        <v>1</v>
      </c>
      <c r="F1000" s="704">
        <v>100</v>
      </c>
      <c r="H1000">
        <f t="shared" si="92"/>
        <v>3195</v>
      </c>
      <c r="I1000" t="str">
        <f t="shared" si="93"/>
        <v>Greater Melbourne</v>
      </c>
    </row>
    <row r="1001" spans="1:9" x14ac:dyDescent="0.2">
      <c r="A1001" s="704">
        <v>3196</v>
      </c>
      <c r="B1001" s="704">
        <v>3196</v>
      </c>
      <c r="C1001" s="704" t="s">
        <v>583</v>
      </c>
      <c r="D1001" s="704" t="s">
        <v>544</v>
      </c>
      <c r="E1001" s="704">
        <v>1</v>
      </c>
      <c r="F1001" s="704">
        <v>100</v>
      </c>
      <c r="H1001">
        <f t="shared" si="92"/>
        <v>3196</v>
      </c>
      <c r="I1001" t="str">
        <f t="shared" si="93"/>
        <v>Greater Melbourne</v>
      </c>
    </row>
    <row r="1002" spans="1:9" x14ac:dyDescent="0.2">
      <c r="A1002" s="704">
        <v>3197</v>
      </c>
      <c r="B1002" s="704">
        <v>3197</v>
      </c>
      <c r="C1002" s="704" t="s">
        <v>583</v>
      </c>
      <c r="D1002" s="704" t="s">
        <v>544</v>
      </c>
      <c r="E1002" s="704">
        <v>0.99923700000000004</v>
      </c>
      <c r="F1002" s="704">
        <v>99.923699999999997</v>
      </c>
      <c r="H1002">
        <f t="shared" si="92"/>
        <v>3197</v>
      </c>
      <c r="I1002" t="str">
        <f t="shared" si="93"/>
        <v>Greater Melbourne</v>
      </c>
    </row>
    <row r="1003" spans="1:9" x14ac:dyDescent="0.2">
      <c r="A1003" s="704">
        <v>3198</v>
      </c>
      <c r="B1003" s="704">
        <v>3198</v>
      </c>
      <c r="C1003" s="704" t="s">
        <v>583</v>
      </c>
      <c r="D1003" s="704" t="s">
        <v>544</v>
      </c>
      <c r="E1003" s="704">
        <v>1</v>
      </c>
      <c r="F1003" s="704">
        <v>100</v>
      </c>
      <c r="H1003">
        <f t="shared" si="92"/>
        <v>3198</v>
      </c>
      <c r="I1003" t="str">
        <f t="shared" si="93"/>
        <v>Greater Melbourne</v>
      </c>
    </row>
    <row r="1004" spans="1:9" x14ac:dyDescent="0.2">
      <c r="A1004" s="704">
        <v>3199</v>
      </c>
      <c r="B1004" s="704">
        <v>3199</v>
      </c>
      <c r="C1004" s="704" t="s">
        <v>583</v>
      </c>
      <c r="D1004" s="704" t="s">
        <v>544</v>
      </c>
      <c r="E1004" s="704">
        <v>1</v>
      </c>
      <c r="F1004" s="704">
        <v>100</v>
      </c>
      <c r="H1004">
        <f t="shared" si="92"/>
        <v>3199</v>
      </c>
      <c r="I1004" t="str">
        <f t="shared" si="93"/>
        <v>Greater Melbourne</v>
      </c>
    </row>
    <row r="1005" spans="1:9" x14ac:dyDescent="0.2">
      <c r="A1005" s="704">
        <v>3200</v>
      </c>
      <c r="B1005" s="704">
        <v>3200</v>
      </c>
      <c r="C1005" s="704" t="s">
        <v>583</v>
      </c>
      <c r="D1005" s="704" t="s">
        <v>544</v>
      </c>
      <c r="E1005" s="704">
        <v>1</v>
      </c>
      <c r="F1005" s="704">
        <v>100</v>
      </c>
      <c r="H1005">
        <f t="shared" si="92"/>
        <v>3200</v>
      </c>
      <c r="I1005" t="str">
        <f t="shared" si="93"/>
        <v>Greater Melbourne</v>
      </c>
    </row>
    <row r="1006" spans="1:9" x14ac:dyDescent="0.2">
      <c r="A1006" s="704">
        <v>3201</v>
      </c>
      <c r="B1006" s="704">
        <v>3201</v>
      </c>
      <c r="C1006" s="704" t="s">
        <v>583</v>
      </c>
      <c r="D1006" s="704" t="s">
        <v>544</v>
      </c>
      <c r="E1006" s="704">
        <v>1</v>
      </c>
      <c r="F1006" s="704">
        <v>100</v>
      </c>
      <c r="H1006">
        <f t="shared" si="92"/>
        <v>3201</v>
      </c>
      <c r="I1006" t="str">
        <f t="shared" si="93"/>
        <v>Greater Melbourne</v>
      </c>
    </row>
    <row r="1007" spans="1:9" x14ac:dyDescent="0.2">
      <c r="A1007" s="704">
        <v>3202</v>
      </c>
      <c r="B1007" s="704">
        <v>3202</v>
      </c>
      <c r="C1007" s="704" t="s">
        <v>583</v>
      </c>
      <c r="D1007" s="704" t="s">
        <v>544</v>
      </c>
      <c r="E1007" s="704">
        <v>1</v>
      </c>
      <c r="F1007" s="704">
        <v>100</v>
      </c>
      <c r="H1007">
        <f t="shared" si="92"/>
        <v>3202</v>
      </c>
      <c r="I1007" t="str">
        <f t="shared" si="93"/>
        <v>Greater Melbourne</v>
      </c>
    </row>
    <row r="1008" spans="1:9" x14ac:dyDescent="0.2">
      <c r="A1008" s="704">
        <v>3204</v>
      </c>
      <c r="B1008" s="704">
        <v>3204</v>
      </c>
      <c r="C1008" s="704" t="s">
        <v>583</v>
      </c>
      <c r="D1008" s="704" t="s">
        <v>544</v>
      </c>
      <c r="E1008" s="704">
        <v>1</v>
      </c>
      <c r="F1008" s="704">
        <v>100</v>
      </c>
      <c r="H1008">
        <f t="shared" si="92"/>
        <v>3204</v>
      </c>
      <c r="I1008" t="str">
        <f t="shared" si="93"/>
        <v>Greater Melbourne</v>
      </c>
    </row>
    <row r="1009" spans="1:9" x14ac:dyDescent="0.2">
      <c r="A1009" s="704">
        <v>3205</v>
      </c>
      <c r="B1009" s="704">
        <v>3205</v>
      </c>
      <c r="C1009" s="704" t="s">
        <v>583</v>
      </c>
      <c r="D1009" s="704" t="s">
        <v>544</v>
      </c>
      <c r="E1009" s="704">
        <v>1</v>
      </c>
      <c r="F1009" s="704">
        <v>100</v>
      </c>
      <c r="H1009">
        <f t="shared" si="92"/>
        <v>3205</v>
      </c>
      <c r="I1009" t="str">
        <f t="shared" si="93"/>
        <v>Greater Melbourne</v>
      </c>
    </row>
    <row r="1010" spans="1:9" x14ac:dyDescent="0.2">
      <c r="A1010" s="704">
        <v>3206</v>
      </c>
      <c r="B1010" s="704">
        <v>3206</v>
      </c>
      <c r="C1010" s="704" t="s">
        <v>583</v>
      </c>
      <c r="D1010" s="704" t="s">
        <v>544</v>
      </c>
      <c r="E1010" s="704">
        <v>1</v>
      </c>
      <c r="F1010" s="704">
        <v>100</v>
      </c>
      <c r="H1010">
        <f t="shared" si="92"/>
        <v>3206</v>
      </c>
      <c r="I1010" t="str">
        <f t="shared" si="93"/>
        <v>Greater Melbourne</v>
      </c>
    </row>
    <row r="1011" spans="1:9" x14ac:dyDescent="0.2">
      <c r="A1011" s="704">
        <v>3207</v>
      </c>
      <c r="B1011" s="704">
        <v>3207</v>
      </c>
      <c r="C1011" s="704" t="s">
        <v>583</v>
      </c>
      <c r="D1011" s="704" t="s">
        <v>544</v>
      </c>
      <c r="E1011" s="704">
        <v>1</v>
      </c>
      <c r="F1011" s="704">
        <v>100</v>
      </c>
      <c r="H1011">
        <f t="shared" si="92"/>
        <v>3207</v>
      </c>
      <c r="I1011" t="str">
        <f t="shared" si="93"/>
        <v>Greater Melbourne</v>
      </c>
    </row>
    <row r="1012" spans="1:9" x14ac:dyDescent="0.2">
      <c r="A1012" s="704">
        <v>3211</v>
      </c>
      <c r="B1012" s="704">
        <v>3211</v>
      </c>
      <c r="C1012" s="704" t="s">
        <v>583</v>
      </c>
      <c r="D1012" s="704" t="s">
        <v>544</v>
      </c>
      <c r="E1012" s="704">
        <v>0.61065899999999995</v>
      </c>
      <c r="F1012" s="704">
        <v>61.065899999999999</v>
      </c>
      <c r="H1012">
        <f t="shared" si="92"/>
        <v>3211</v>
      </c>
      <c r="I1012" t="str">
        <f t="shared" si="93"/>
        <v>Greater Melbourne</v>
      </c>
    </row>
    <row r="1013" spans="1:9" x14ac:dyDescent="0.2">
      <c r="A1013" s="704">
        <v>3211</v>
      </c>
      <c r="B1013" s="704">
        <v>3211</v>
      </c>
      <c r="C1013" s="704" t="s">
        <v>582</v>
      </c>
      <c r="D1013" s="704" t="s">
        <v>541</v>
      </c>
      <c r="E1013" s="704">
        <v>0.38934099999999999</v>
      </c>
      <c r="F1013" s="704">
        <v>38.934100000000001</v>
      </c>
      <c r="H1013">
        <f t="shared" si="92"/>
        <v>3211</v>
      </c>
      <c r="I1013" t="str">
        <f t="shared" si="93"/>
        <v>Rest of Vic.</v>
      </c>
    </row>
    <row r="1014" spans="1:9" x14ac:dyDescent="0.2">
      <c r="A1014" s="704">
        <v>3212</v>
      </c>
      <c r="B1014" s="704">
        <v>3212</v>
      </c>
      <c r="C1014" s="704" t="s">
        <v>582</v>
      </c>
      <c r="D1014" s="704" t="s">
        <v>541</v>
      </c>
      <c r="E1014" s="704">
        <v>1</v>
      </c>
      <c r="F1014" s="704">
        <v>100</v>
      </c>
      <c r="H1014">
        <f t="shared" si="92"/>
        <v>3212</v>
      </c>
      <c r="I1014" t="str">
        <f t="shared" si="93"/>
        <v>Rest of Vic.</v>
      </c>
    </row>
    <row r="1015" spans="1:9" x14ac:dyDescent="0.2">
      <c r="A1015" s="704">
        <v>3214</v>
      </c>
      <c r="B1015" s="704">
        <v>3214</v>
      </c>
      <c r="C1015" s="704" t="s">
        <v>582</v>
      </c>
      <c r="D1015" s="704" t="s">
        <v>541</v>
      </c>
      <c r="E1015" s="704">
        <v>1</v>
      </c>
      <c r="F1015" s="704">
        <v>100</v>
      </c>
      <c r="H1015">
        <f t="shared" si="92"/>
        <v>3214</v>
      </c>
      <c r="I1015" t="str">
        <f t="shared" si="93"/>
        <v>Rest of Vic.</v>
      </c>
    </row>
    <row r="1016" spans="1:9" x14ac:dyDescent="0.2">
      <c r="A1016" s="704">
        <v>3215</v>
      </c>
      <c r="B1016" s="704">
        <v>3215</v>
      </c>
      <c r="C1016" s="704" t="s">
        <v>582</v>
      </c>
      <c r="D1016" s="704" t="s">
        <v>541</v>
      </c>
      <c r="E1016" s="704">
        <v>0.99743300000000001</v>
      </c>
      <c r="F1016" s="704">
        <v>99.743300000000005</v>
      </c>
      <c r="H1016">
        <f t="shared" si="92"/>
        <v>3215</v>
      </c>
      <c r="I1016" t="str">
        <f t="shared" si="93"/>
        <v>Rest of Vic.</v>
      </c>
    </row>
    <row r="1017" spans="1:9" x14ac:dyDescent="0.2">
      <c r="A1017" s="704">
        <v>3216</v>
      </c>
      <c r="B1017" s="704">
        <v>3216</v>
      </c>
      <c r="C1017" s="704" t="s">
        <v>582</v>
      </c>
      <c r="D1017" s="704" t="s">
        <v>541</v>
      </c>
      <c r="E1017" s="704">
        <v>1</v>
      </c>
      <c r="F1017" s="704">
        <v>100</v>
      </c>
      <c r="H1017">
        <f t="shared" ref="H1017:H1080" si="94">A1017*1</f>
        <v>3216</v>
      </c>
      <c r="I1017" t="str">
        <f t="shared" ref="I1017:I1080" si="95">D1017</f>
        <v>Rest of Vic.</v>
      </c>
    </row>
    <row r="1018" spans="1:9" x14ac:dyDescent="0.2">
      <c r="A1018" s="704">
        <v>3217</v>
      </c>
      <c r="B1018" s="704">
        <v>3217</v>
      </c>
      <c r="C1018" s="704" t="s">
        <v>582</v>
      </c>
      <c r="D1018" s="704" t="s">
        <v>541</v>
      </c>
      <c r="E1018" s="704">
        <v>1</v>
      </c>
      <c r="F1018" s="704">
        <v>100</v>
      </c>
      <c r="H1018">
        <f t="shared" si="94"/>
        <v>3217</v>
      </c>
      <c r="I1018" t="str">
        <f t="shared" si="95"/>
        <v>Rest of Vic.</v>
      </c>
    </row>
    <row r="1019" spans="1:9" x14ac:dyDescent="0.2">
      <c r="A1019" s="704">
        <v>3218</v>
      </c>
      <c r="B1019" s="704">
        <v>3218</v>
      </c>
      <c r="C1019" s="704" t="s">
        <v>582</v>
      </c>
      <c r="D1019" s="704" t="s">
        <v>541</v>
      </c>
      <c r="E1019" s="704">
        <v>1</v>
      </c>
      <c r="F1019" s="704">
        <v>100</v>
      </c>
      <c r="H1019">
        <f t="shared" si="94"/>
        <v>3218</v>
      </c>
      <c r="I1019" t="str">
        <f t="shared" si="95"/>
        <v>Rest of Vic.</v>
      </c>
    </row>
    <row r="1020" spans="1:9" x14ac:dyDescent="0.2">
      <c r="A1020" s="704">
        <v>3219</v>
      </c>
      <c r="B1020" s="704">
        <v>3219</v>
      </c>
      <c r="C1020" s="704" t="s">
        <v>582</v>
      </c>
      <c r="D1020" s="704" t="s">
        <v>541</v>
      </c>
      <c r="E1020" s="704">
        <v>1</v>
      </c>
      <c r="F1020" s="704">
        <v>100</v>
      </c>
      <c r="H1020">
        <f t="shared" si="94"/>
        <v>3219</v>
      </c>
      <c r="I1020" t="str">
        <f t="shared" si="95"/>
        <v>Rest of Vic.</v>
      </c>
    </row>
    <row r="1021" spans="1:9" x14ac:dyDescent="0.2">
      <c r="A1021" s="704">
        <v>3220</v>
      </c>
      <c r="B1021" s="704">
        <v>3220</v>
      </c>
      <c r="C1021" s="704" t="s">
        <v>582</v>
      </c>
      <c r="D1021" s="704" t="s">
        <v>541</v>
      </c>
      <c r="E1021" s="704">
        <v>0.99998699999999996</v>
      </c>
      <c r="F1021" s="704">
        <v>99.998699999999999</v>
      </c>
      <c r="H1021">
        <f t="shared" si="94"/>
        <v>3220</v>
      </c>
      <c r="I1021" t="str">
        <f t="shared" si="95"/>
        <v>Rest of Vic.</v>
      </c>
    </row>
    <row r="1022" spans="1:9" x14ac:dyDescent="0.2">
      <c r="A1022" s="704">
        <v>3221</v>
      </c>
      <c r="B1022" s="704">
        <v>3221</v>
      </c>
      <c r="C1022" s="704" t="s">
        <v>582</v>
      </c>
      <c r="D1022" s="704" t="s">
        <v>541</v>
      </c>
      <c r="E1022" s="704">
        <v>0.99994300000000003</v>
      </c>
      <c r="F1022" s="704">
        <v>99.994299999999996</v>
      </c>
      <c r="H1022">
        <f t="shared" si="94"/>
        <v>3221</v>
      </c>
      <c r="I1022" t="str">
        <f t="shared" si="95"/>
        <v>Rest of Vic.</v>
      </c>
    </row>
    <row r="1023" spans="1:9" x14ac:dyDescent="0.2">
      <c r="A1023" s="704">
        <v>3222</v>
      </c>
      <c r="B1023" s="704">
        <v>3222</v>
      </c>
      <c r="C1023" s="704" t="s">
        <v>582</v>
      </c>
      <c r="D1023" s="704" t="s">
        <v>541</v>
      </c>
      <c r="E1023" s="704">
        <v>0.99978900000000004</v>
      </c>
      <c r="F1023" s="704">
        <v>99.978899999999996</v>
      </c>
      <c r="H1023">
        <f t="shared" si="94"/>
        <v>3222</v>
      </c>
      <c r="I1023" t="str">
        <f t="shared" si="95"/>
        <v>Rest of Vic.</v>
      </c>
    </row>
    <row r="1024" spans="1:9" x14ac:dyDescent="0.2">
      <c r="A1024" s="704">
        <v>3223</v>
      </c>
      <c r="B1024" s="704">
        <v>3223</v>
      </c>
      <c r="C1024" s="704" t="s">
        <v>582</v>
      </c>
      <c r="D1024" s="704" t="s">
        <v>541</v>
      </c>
      <c r="E1024" s="704">
        <v>0.99987300000000001</v>
      </c>
      <c r="F1024" s="704">
        <v>99.987300000000005</v>
      </c>
      <c r="H1024">
        <f t="shared" si="94"/>
        <v>3223</v>
      </c>
      <c r="I1024" t="str">
        <f t="shared" si="95"/>
        <v>Rest of Vic.</v>
      </c>
    </row>
    <row r="1025" spans="1:9" x14ac:dyDescent="0.2">
      <c r="A1025" s="704">
        <v>3224</v>
      </c>
      <c r="B1025" s="704">
        <v>3224</v>
      </c>
      <c r="C1025" s="704" t="s">
        <v>582</v>
      </c>
      <c r="D1025" s="704" t="s">
        <v>541</v>
      </c>
      <c r="E1025" s="704">
        <v>1</v>
      </c>
      <c r="F1025" s="704">
        <v>100</v>
      </c>
      <c r="H1025">
        <f t="shared" si="94"/>
        <v>3224</v>
      </c>
      <c r="I1025" t="str">
        <f t="shared" si="95"/>
        <v>Rest of Vic.</v>
      </c>
    </row>
    <row r="1026" spans="1:9" x14ac:dyDescent="0.2">
      <c r="A1026" s="704">
        <v>3225</v>
      </c>
      <c r="B1026" s="704">
        <v>3225</v>
      </c>
      <c r="C1026" s="704" t="s">
        <v>582</v>
      </c>
      <c r="D1026" s="704" t="s">
        <v>541</v>
      </c>
      <c r="E1026" s="704">
        <v>0.99996700000000005</v>
      </c>
      <c r="F1026" s="704">
        <v>99.996700000000004</v>
      </c>
      <c r="H1026">
        <f t="shared" si="94"/>
        <v>3225</v>
      </c>
      <c r="I1026" t="str">
        <f t="shared" si="95"/>
        <v>Rest of Vic.</v>
      </c>
    </row>
    <row r="1027" spans="1:9" x14ac:dyDescent="0.2">
      <c r="A1027" s="704">
        <v>3226</v>
      </c>
      <c r="B1027" s="704">
        <v>3226</v>
      </c>
      <c r="C1027" s="704" t="s">
        <v>582</v>
      </c>
      <c r="D1027" s="704" t="s">
        <v>541</v>
      </c>
      <c r="E1027" s="704">
        <v>1</v>
      </c>
      <c r="F1027" s="704">
        <v>100</v>
      </c>
      <c r="H1027">
        <f t="shared" si="94"/>
        <v>3226</v>
      </c>
      <c r="I1027" t="str">
        <f t="shared" si="95"/>
        <v>Rest of Vic.</v>
      </c>
    </row>
    <row r="1028" spans="1:9" x14ac:dyDescent="0.2">
      <c r="A1028" s="704">
        <v>3227</v>
      </c>
      <c r="B1028" s="704">
        <v>3227</v>
      </c>
      <c r="C1028" s="704" t="s">
        <v>582</v>
      </c>
      <c r="D1028" s="704" t="s">
        <v>541</v>
      </c>
      <c r="E1028" s="704">
        <v>1</v>
      </c>
      <c r="F1028" s="704">
        <v>100</v>
      </c>
      <c r="H1028">
        <f t="shared" si="94"/>
        <v>3227</v>
      </c>
      <c r="I1028" t="str">
        <f t="shared" si="95"/>
        <v>Rest of Vic.</v>
      </c>
    </row>
    <row r="1029" spans="1:9" x14ac:dyDescent="0.2">
      <c r="A1029" s="704">
        <v>3228</v>
      </c>
      <c r="B1029" s="704">
        <v>3228</v>
      </c>
      <c r="C1029" s="704" t="s">
        <v>582</v>
      </c>
      <c r="D1029" s="704" t="s">
        <v>541</v>
      </c>
      <c r="E1029" s="704">
        <v>1</v>
      </c>
      <c r="F1029" s="704">
        <v>100</v>
      </c>
      <c r="H1029">
        <f t="shared" si="94"/>
        <v>3228</v>
      </c>
      <c r="I1029" t="str">
        <f t="shared" si="95"/>
        <v>Rest of Vic.</v>
      </c>
    </row>
    <row r="1030" spans="1:9" x14ac:dyDescent="0.2">
      <c r="A1030" s="704">
        <v>3230</v>
      </c>
      <c r="B1030" s="704">
        <v>3230</v>
      </c>
      <c r="C1030" s="704" t="s">
        <v>582</v>
      </c>
      <c r="D1030" s="704" t="s">
        <v>541</v>
      </c>
      <c r="E1030" s="704">
        <v>1</v>
      </c>
      <c r="F1030" s="704">
        <v>100</v>
      </c>
      <c r="H1030">
        <f t="shared" si="94"/>
        <v>3230</v>
      </c>
      <c r="I1030" t="str">
        <f t="shared" si="95"/>
        <v>Rest of Vic.</v>
      </c>
    </row>
    <row r="1031" spans="1:9" x14ac:dyDescent="0.2">
      <c r="A1031" s="704">
        <v>3231</v>
      </c>
      <c r="B1031" s="704">
        <v>3231</v>
      </c>
      <c r="C1031" s="704" t="s">
        <v>582</v>
      </c>
      <c r="D1031" s="704" t="s">
        <v>541</v>
      </c>
      <c r="E1031" s="704">
        <v>0.99943199999999999</v>
      </c>
      <c r="F1031" s="704">
        <v>99.943200000000004</v>
      </c>
      <c r="H1031">
        <f t="shared" si="94"/>
        <v>3231</v>
      </c>
      <c r="I1031" t="str">
        <f t="shared" si="95"/>
        <v>Rest of Vic.</v>
      </c>
    </row>
    <row r="1032" spans="1:9" x14ac:dyDescent="0.2">
      <c r="A1032" s="704">
        <v>3232</v>
      </c>
      <c r="B1032" s="704">
        <v>3232</v>
      </c>
      <c r="C1032" s="704" t="s">
        <v>582</v>
      </c>
      <c r="D1032" s="704" t="s">
        <v>541</v>
      </c>
      <c r="E1032" s="704">
        <v>0.99823200000000001</v>
      </c>
      <c r="F1032" s="704">
        <v>99.8232</v>
      </c>
      <c r="H1032">
        <f t="shared" si="94"/>
        <v>3232</v>
      </c>
      <c r="I1032" t="str">
        <f t="shared" si="95"/>
        <v>Rest of Vic.</v>
      </c>
    </row>
    <row r="1033" spans="1:9" x14ac:dyDescent="0.2">
      <c r="A1033" s="704">
        <v>3233</v>
      </c>
      <c r="B1033" s="704">
        <v>3233</v>
      </c>
      <c r="C1033" s="704" t="s">
        <v>582</v>
      </c>
      <c r="D1033" s="704" t="s">
        <v>541</v>
      </c>
      <c r="E1033" s="704">
        <v>0.99775000000000003</v>
      </c>
      <c r="F1033" s="704">
        <v>99.775000000000006</v>
      </c>
      <c r="H1033">
        <f t="shared" si="94"/>
        <v>3233</v>
      </c>
      <c r="I1033" t="str">
        <f t="shared" si="95"/>
        <v>Rest of Vic.</v>
      </c>
    </row>
    <row r="1034" spans="1:9" x14ac:dyDescent="0.2">
      <c r="A1034" s="704">
        <v>3235</v>
      </c>
      <c r="B1034" s="704">
        <v>3235</v>
      </c>
      <c r="C1034" s="704" t="s">
        <v>582</v>
      </c>
      <c r="D1034" s="704" t="s">
        <v>541</v>
      </c>
      <c r="E1034" s="704">
        <v>1</v>
      </c>
      <c r="F1034" s="704">
        <v>100</v>
      </c>
      <c r="H1034">
        <f t="shared" si="94"/>
        <v>3235</v>
      </c>
      <c r="I1034" t="str">
        <f t="shared" si="95"/>
        <v>Rest of Vic.</v>
      </c>
    </row>
    <row r="1035" spans="1:9" x14ac:dyDescent="0.2">
      <c r="A1035" s="704">
        <v>3236</v>
      </c>
      <c r="B1035" s="704">
        <v>3236</v>
      </c>
      <c r="C1035" s="704" t="s">
        <v>582</v>
      </c>
      <c r="D1035" s="704" t="s">
        <v>541</v>
      </c>
      <c r="E1035" s="704">
        <v>1</v>
      </c>
      <c r="F1035" s="704">
        <v>100</v>
      </c>
      <c r="H1035">
        <f t="shared" si="94"/>
        <v>3236</v>
      </c>
      <c r="I1035" t="str">
        <f t="shared" si="95"/>
        <v>Rest of Vic.</v>
      </c>
    </row>
    <row r="1036" spans="1:9" x14ac:dyDescent="0.2">
      <c r="A1036" s="704">
        <v>3237</v>
      </c>
      <c r="B1036" s="704">
        <v>3237</v>
      </c>
      <c r="C1036" s="704" t="s">
        <v>582</v>
      </c>
      <c r="D1036" s="704" t="s">
        <v>541</v>
      </c>
      <c r="E1036" s="704">
        <v>1</v>
      </c>
      <c r="F1036" s="704">
        <v>100</v>
      </c>
      <c r="H1036">
        <f t="shared" si="94"/>
        <v>3237</v>
      </c>
      <c r="I1036" t="str">
        <f t="shared" si="95"/>
        <v>Rest of Vic.</v>
      </c>
    </row>
    <row r="1037" spans="1:9" x14ac:dyDescent="0.2">
      <c r="A1037" s="704">
        <v>3238</v>
      </c>
      <c r="B1037" s="704">
        <v>3238</v>
      </c>
      <c r="C1037" s="704" t="s">
        <v>582</v>
      </c>
      <c r="D1037" s="704" t="s">
        <v>541</v>
      </c>
      <c r="E1037" s="704">
        <v>0.99999899999999997</v>
      </c>
      <c r="F1037" s="704">
        <v>99.999899999999997</v>
      </c>
      <c r="H1037">
        <f t="shared" si="94"/>
        <v>3238</v>
      </c>
      <c r="I1037" t="str">
        <f t="shared" si="95"/>
        <v>Rest of Vic.</v>
      </c>
    </row>
    <row r="1038" spans="1:9" x14ac:dyDescent="0.2">
      <c r="A1038" s="704">
        <v>3239</v>
      </c>
      <c r="B1038" s="704">
        <v>3239</v>
      </c>
      <c r="C1038" s="704" t="s">
        <v>582</v>
      </c>
      <c r="D1038" s="704" t="s">
        <v>541</v>
      </c>
      <c r="E1038" s="704">
        <v>1</v>
      </c>
      <c r="F1038" s="704">
        <v>100</v>
      </c>
      <c r="H1038">
        <f t="shared" si="94"/>
        <v>3239</v>
      </c>
      <c r="I1038" t="str">
        <f t="shared" si="95"/>
        <v>Rest of Vic.</v>
      </c>
    </row>
    <row r="1039" spans="1:9" x14ac:dyDescent="0.2">
      <c r="A1039" s="704">
        <v>3240</v>
      </c>
      <c r="B1039" s="704">
        <v>3240</v>
      </c>
      <c r="C1039" s="704" t="s">
        <v>582</v>
      </c>
      <c r="D1039" s="704" t="s">
        <v>541</v>
      </c>
      <c r="E1039" s="704">
        <v>1</v>
      </c>
      <c r="F1039" s="704">
        <v>100</v>
      </c>
      <c r="H1039">
        <f t="shared" si="94"/>
        <v>3240</v>
      </c>
      <c r="I1039" t="str">
        <f t="shared" si="95"/>
        <v>Rest of Vic.</v>
      </c>
    </row>
    <row r="1040" spans="1:9" x14ac:dyDescent="0.2">
      <c r="A1040" s="704">
        <v>3241</v>
      </c>
      <c r="B1040" s="704">
        <v>3241</v>
      </c>
      <c r="C1040" s="704" t="s">
        <v>582</v>
      </c>
      <c r="D1040" s="704" t="s">
        <v>541</v>
      </c>
      <c r="E1040" s="704">
        <v>1</v>
      </c>
      <c r="F1040" s="704">
        <v>100</v>
      </c>
      <c r="H1040">
        <f t="shared" si="94"/>
        <v>3241</v>
      </c>
      <c r="I1040" t="str">
        <f t="shared" si="95"/>
        <v>Rest of Vic.</v>
      </c>
    </row>
    <row r="1041" spans="1:9" x14ac:dyDescent="0.2">
      <c r="A1041" s="704">
        <v>3242</v>
      </c>
      <c r="B1041" s="704">
        <v>3242</v>
      </c>
      <c r="C1041" s="704" t="s">
        <v>582</v>
      </c>
      <c r="D1041" s="704" t="s">
        <v>541</v>
      </c>
      <c r="E1041" s="704">
        <v>1</v>
      </c>
      <c r="F1041" s="704">
        <v>100</v>
      </c>
      <c r="H1041">
        <f t="shared" si="94"/>
        <v>3242</v>
      </c>
      <c r="I1041" t="str">
        <f t="shared" si="95"/>
        <v>Rest of Vic.</v>
      </c>
    </row>
    <row r="1042" spans="1:9" x14ac:dyDescent="0.2">
      <c r="A1042" s="704">
        <v>3243</v>
      </c>
      <c r="B1042" s="704">
        <v>3243</v>
      </c>
      <c r="C1042" s="704" t="s">
        <v>582</v>
      </c>
      <c r="D1042" s="704" t="s">
        <v>541</v>
      </c>
      <c r="E1042" s="704">
        <v>1</v>
      </c>
      <c r="F1042" s="704">
        <v>100</v>
      </c>
      <c r="H1042">
        <f t="shared" si="94"/>
        <v>3243</v>
      </c>
      <c r="I1042" t="str">
        <f t="shared" si="95"/>
        <v>Rest of Vic.</v>
      </c>
    </row>
    <row r="1043" spans="1:9" x14ac:dyDescent="0.2">
      <c r="A1043" s="704">
        <v>3249</v>
      </c>
      <c r="B1043" s="704">
        <v>3249</v>
      </c>
      <c r="C1043" s="704" t="s">
        <v>582</v>
      </c>
      <c r="D1043" s="704" t="s">
        <v>541</v>
      </c>
      <c r="E1043" s="704">
        <v>1</v>
      </c>
      <c r="F1043" s="704">
        <v>100</v>
      </c>
      <c r="H1043">
        <f t="shared" si="94"/>
        <v>3249</v>
      </c>
      <c r="I1043" t="str">
        <f t="shared" si="95"/>
        <v>Rest of Vic.</v>
      </c>
    </row>
    <row r="1044" spans="1:9" x14ac:dyDescent="0.2">
      <c r="A1044" s="704">
        <v>3250</v>
      </c>
      <c r="B1044" s="704">
        <v>3250</v>
      </c>
      <c r="C1044" s="704" t="s">
        <v>582</v>
      </c>
      <c r="D1044" s="704" t="s">
        <v>541</v>
      </c>
      <c r="E1044" s="704">
        <v>1</v>
      </c>
      <c r="F1044" s="704">
        <v>100</v>
      </c>
      <c r="H1044">
        <f t="shared" si="94"/>
        <v>3250</v>
      </c>
      <c r="I1044" t="str">
        <f t="shared" si="95"/>
        <v>Rest of Vic.</v>
      </c>
    </row>
    <row r="1045" spans="1:9" x14ac:dyDescent="0.2">
      <c r="A1045" s="704">
        <v>3251</v>
      </c>
      <c r="B1045" s="704">
        <v>3251</v>
      </c>
      <c r="C1045" s="704" t="s">
        <v>582</v>
      </c>
      <c r="D1045" s="704" t="s">
        <v>541</v>
      </c>
      <c r="E1045" s="704">
        <v>1</v>
      </c>
      <c r="F1045" s="704">
        <v>100</v>
      </c>
      <c r="H1045">
        <f t="shared" si="94"/>
        <v>3251</v>
      </c>
      <c r="I1045" t="str">
        <f t="shared" si="95"/>
        <v>Rest of Vic.</v>
      </c>
    </row>
    <row r="1046" spans="1:9" x14ac:dyDescent="0.2">
      <c r="A1046" s="704">
        <v>3254</v>
      </c>
      <c r="B1046" s="704">
        <v>3254</v>
      </c>
      <c r="C1046" s="704" t="s">
        <v>582</v>
      </c>
      <c r="D1046" s="704" t="s">
        <v>541</v>
      </c>
      <c r="E1046" s="704">
        <v>1</v>
      </c>
      <c r="F1046" s="704">
        <v>100</v>
      </c>
      <c r="H1046">
        <f t="shared" si="94"/>
        <v>3254</v>
      </c>
      <c r="I1046" t="str">
        <f t="shared" si="95"/>
        <v>Rest of Vic.</v>
      </c>
    </row>
    <row r="1047" spans="1:9" x14ac:dyDescent="0.2">
      <c r="A1047" s="704">
        <v>3260</v>
      </c>
      <c r="B1047" s="704">
        <v>3260</v>
      </c>
      <c r="C1047" s="704" t="s">
        <v>582</v>
      </c>
      <c r="D1047" s="704" t="s">
        <v>541</v>
      </c>
      <c r="E1047" s="704">
        <v>1</v>
      </c>
      <c r="F1047" s="704">
        <v>100</v>
      </c>
      <c r="H1047">
        <f t="shared" si="94"/>
        <v>3260</v>
      </c>
      <c r="I1047" t="str">
        <f t="shared" si="95"/>
        <v>Rest of Vic.</v>
      </c>
    </row>
    <row r="1048" spans="1:9" x14ac:dyDescent="0.2">
      <c r="A1048" s="704">
        <v>3264</v>
      </c>
      <c r="B1048" s="704">
        <v>3264</v>
      </c>
      <c r="C1048" s="704" t="s">
        <v>582</v>
      </c>
      <c r="D1048" s="704" t="s">
        <v>541</v>
      </c>
      <c r="E1048" s="704">
        <v>1</v>
      </c>
      <c r="F1048" s="704">
        <v>100</v>
      </c>
      <c r="H1048">
        <f t="shared" si="94"/>
        <v>3264</v>
      </c>
      <c r="I1048" t="str">
        <f t="shared" si="95"/>
        <v>Rest of Vic.</v>
      </c>
    </row>
    <row r="1049" spans="1:9" x14ac:dyDescent="0.2">
      <c r="A1049" s="704">
        <v>3265</v>
      </c>
      <c r="B1049" s="704">
        <v>3265</v>
      </c>
      <c r="C1049" s="704" t="s">
        <v>582</v>
      </c>
      <c r="D1049" s="704" t="s">
        <v>541</v>
      </c>
      <c r="E1049" s="704">
        <v>1</v>
      </c>
      <c r="F1049" s="704">
        <v>100</v>
      </c>
      <c r="H1049">
        <f t="shared" si="94"/>
        <v>3265</v>
      </c>
      <c r="I1049" t="str">
        <f t="shared" si="95"/>
        <v>Rest of Vic.</v>
      </c>
    </row>
    <row r="1050" spans="1:9" x14ac:dyDescent="0.2">
      <c r="A1050" s="704">
        <v>3266</v>
      </c>
      <c r="B1050" s="704">
        <v>3266</v>
      </c>
      <c r="C1050" s="704" t="s">
        <v>582</v>
      </c>
      <c r="D1050" s="704" t="s">
        <v>541</v>
      </c>
      <c r="E1050" s="704">
        <v>1</v>
      </c>
      <c r="F1050" s="704">
        <v>100</v>
      </c>
      <c r="H1050">
        <f t="shared" si="94"/>
        <v>3266</v>
      </c>
      <c r="I1050" t="str">
        <f t="shared" si="95"/>
        <v>Rest of Vic.</v>
      </c>
    </row>
    <row r="1051" spans="1:9" x14ac:dyDescent="0.2">
      <c r="A1051" s="704">
        <v>3267</v>
      </c>
      <c r="B1051" s="704">
        <v>3267</v>
      </c>
      <c r="C1051" s="704" t="s">
        <v>582</v>
      </c>
      <c r="D1051" s="704" t="s">
        <v>541</v>
      </c>
      <c r="E1051" s="704">
        <v>1</v>
      </c>
      <c r="F1051" s="704">
        <v>100</v>
      </c>
      <c r="H1051">
        <f t="shared" si="94"/>
        <v>3267</v>
      </c>
      <c r="I1051" t="str">
        <f t="shared" si="95"/>
        <v>Rest of Vic.</v>
      </c>
    </row>
    <row r="1052" spans="1:9" x14ac:dyDescent="0.2">
      <c r="A1052" s="704">
        <v>3268</v>
      </c>
      <c r="B1052" s="704">
        <v>3268</v>
      </c>
      <c r="C1052" s="704" t="s">
        <v>582</v>
      </c>
      <c r="D1052" s="704" t="s">
        <v>541</v>
      </c>
      <c r="E1052" s="704">
        <v>0.99999099999999996</v>
      </c>
      <c r="F1052" s="704">
        <v>99.999099999999999</v>
      </c>
      <c r="H1052">
        <f t="shared" si="94"/>
        <v>3268</v>
      </c>
      <c r="I1052" t="str">
        <f t="shared" si="95"/>
        <v>Rest of Vic.</v>
      </c>
    </row>
    <row r="1053" spans="1:9" x14ac:dyDescent="0.2">
      <c r="A1053" s="704">
        <v>3269</v>
      </c>
      <c r="B1053" s="704">
        <v>3269</v>
      </c>
      <c r="C1053" s="704" t="s">
        <v>582</v>
      </c>
      <c r="D1053" s="704" t="s">
        <v>541</v>
      </c>
      <c r="E1053" s="704">
        <v>0.99527600000000005</v>
      </c>
      <c r="F1053" s="704">
        <v>99.527600000000007</v>
      </c>
      <c r="H1053">
        <f t="shared" si="94"/>
        <v>3269</v>
      </c>
      <c r="I1053" t="str">
        <f t="shared" si="95"/>
        <v>Rest of Vic.</v>
      </c>
    </row>
    <row r="1054" spans="1:9" x14ac:dyDescent="0.2">
      <c r="A1054" s="704">
        <v>3270</v>
      </c>
      <c r="B1054" s="704">
        <v>3270</v>
      </c>
      <c r="C1054" s="704" t="s">
        <v>582</v>
      </c>
      <c r="D1054" s="704" t="s">
        <v>541</v>
      </c>
      <c r="E1054" s="704">
        <v>0.99999899999999997</v>
      </c>
      <c r="F1054" s="704">
        <v>99.999899999999997</v>
      </c>
      <c r="H1054">
        <f t="shared" si="94"/>
        <v>3270</v>
      </c>
      <c r="I1054" t="str">
        <f t="shared" si="95"/>
        <v>Rest of Vic.</v>
      </c>
    </row>
    <row r="1055" spans="1:9" x14ac:dyDescent="0.2">
      <c r="A1055" s="704">
        <v>3271</v>
      </c>
      <c r="B1055" s="704">
        <v>3271</v>
      </c>
      <c r="C1055" s="704" t="s">
        <v>582</v>
      </c>
      <c r="D1055" s="704" t="s">
        <v>541</v>
      </c>
      <c r="E1055" s="704">
        <v>1</v>
      </c>
      <c r="F1055" s="704">
        <v>100</v>
      </c>
      <c r="H1055">
        <f t="shared" si="94"/>
        <v>3271</v>
      </c>
      <c r="I1055" t="str">
        <f t="shared" si="95"/>
        <v>Rest of Vic.</v>
      </c>
    </row>
    <row r="1056" spans="1:9" x14ac:dyDescent="0.2">
      <c r="A1056" s="704">
        <v>3272</v>
      </c>
      <c r="B1056" s="704">
        <v>3272</v>
      </c>
      <c r="C1056" s="704" t="s">
        <v>582</v>
      </c>
      <c r="D1056" s="704" t="s">
        <v>541</v>
      </c>
      <c r="E1056" s="704">
        <v>1</v>
      </c>
      <c r="F1056" s="704">
        <v>100</v>
      </c>
      <c r="H1056">
        <f t="shared" si="94"/>
        <v>3272</v>
      </c>
      <c r="I1056" t="str">
        <f t="shared" si="95"/>
        <v>Rest of Vic.</v>
      </c>
    </row>
    <row r="1057" spans="1:9" x14ac:dyDescent="0.2">
      <c r="A1057" s="704">
        <v>3273</v>
      </c>
      <c r="B1057" s="704">
        <v>3273</v>
      </c>
      <c r="C1057" s="704" t="s">
        <v>582</v>
      </c>
      <c r="D1057" s="704" t="s">
        <v>541</v>
      </c>
      <c r="E1057" s="704">
        <v>1</v>
      </c>
      <c r="F1057" s="704">
        <v>100</v>
      </c>
      <c r="H1057">
        <f t="shared" si="94"/>
        <v>3273</v>
      </c>
      <c r="I1057" t="str">
        <f t="shared" si="95"/>
        <v>Rest of Vic.</v>
      </c>
    </row>
    <row r="1058" spans="1:9" x14ac:dyDescent="0.2">
      <c r="A1058" s="704">
        <v>3274</v>
      </c>
      <c r="B1058" s="704">
        <v>3274</v>
      </c>
      <c r="C1058" s="704" t="s">
        <v>582</v>
      </c>
      <c r="D1058" s="704" t="s">
        <v>541</v>
      </c>
      <c r="E1058" s="704">
        <v>1</v>
      </c>
      <c r="F1058" s="704">
        <v>100</v>
      </c>
      <c r="H1058">
        <f t="shared" si="94"/>
        <v>3274</v>
      </c>
      <c r="I1058" t="str">
        <f t="shared" si="95"/>
        <v>Rest of Vic.</v>
      </c>
    </row>
    <row r="1059" spans="1:9" x14ac:dyDescent="0.2">
      <c r="A1059" s="704">
        <v>3275</v>
      </c>
      <c r="B1059" s="704">
        <v>3275</v>
      </c>
      <c r="C1059" s="704" t="s">
        <v>582</v>
      </c>
      <c r="D1059" s="704" t="s">
        <v>541</v>
      </c>
      <c r="E1059" s="704">
        <v>1</v>
      </c>
      <c r="F1059" s="704">
        <v>100</v>
      </c>
      <c r="H1059">
        <f t="shared" si="94"/>
        <v>3275</v>
      </c>
      <c r="I1059" t="str">
        <f t="shared" si="95"/>
        <v>Rest of Vic.</v>
      </c>
    </row>
    <row r="1060" spans="1:9" x14ac:dyDescent="0.2">
      <c r="A1060" s="704">
        <v>3276</v>
      </c>
      <c r="B1060" s="704">
        <v>3276</v>
      </c>
      <c r="C1060" s="704" t="s">
        <v>582</v>
      </c>
      <c r="D1060" s="704" t="s">
        <v>541</v>
      </c>
      <c r="E1060" s="704">
        <v>1</v>
      </c>
      <c r="F1060" s="704">
        <v>100</v>
      </c>
      <c r="H1060">
        <f t="shared" si="94"/>
        <v>3276</v>
      </c>
      <c r="I1060" t="str">
        <f t="shared" si="95"/>
        <v>Rest of Vic.</v>
      </c>
    </row>
    <row r="1061" spans="1:9" x14ac:dyDescent="0.2">
      <c r="A1061" s="704">
        <v>3277</v>
      </c>
      <c r="B1061" s="704">
        <v>3277</v>
      </c>
      <c r="C1061" s="704" t="s">
        <v>582</v>
      </c>
      <c r="D1061" s="704" t="s">
        <v>541</v>
      </c>
      <c r="E1061" s="704">
        <v>1</v>
      </c>
      <c r="F1061" s="704">
        <v>100</v>
      </c>
      <c r="H1061">
        <f t="shared" si="94"/>
        <v>3277</v>
      </c>
      <c r="I1061" t="str">
        <f t="shared" si="95"/>
        <v>Rest of Vic.</v>
      </c>
    </row>
    <row r="1062" spans="1:9" x14ac:dyDescent="0.2">
      <c r="A1062" s="704">
        <v>3278</v>
      </c>
      <c r="B1062" s="704">
        <v>3278</v>
      </c>
      <c r="C1062" s="704" t="s">
        <v>582</v>
      </c>
      <c r="D1062" s="704" t="s">
        <v>541</v>
      </c>
      <c r="E1062" s="704">
        <v>1</v>
      </c>
      <c r="F1062" s="704">
        <v>100</v>
      </c>
      <c r="H1062">
        <f t="shared" si="94"/>
        <v>3278</v>
      </c>
      <c r="I1062" t="str">
        <f t="shared" si="95"/>
        <v>Rest of Vic.</v>
      </c>
    </row>
    <row r="1063" spans="1:9" x14ac:dyDescent="0.2">
      <c r="A1063" s="704">
        <v>3279</v>
      </c>
      <c r="B1063" s="704">
        <v>3279</v>
      </c>
      <c r="C1063" s="704" t="s">
        <v>582</v>
      </c>
      <c r="D1063" s="704" t="s">
        <v>541</v>
      </c>
      <c r="E1063" s="704">
        <v>1</v>
      </c>
      <c r="F1063" s="704">
        <v>100</v>
      </c>
      <c r="H1063">
        <f t="shared" si="94"/>
        <v>3279</v>
      </c>
      <c r="I1063" t="str">
        <f t="shared" si="95"/>
        <v>Rest of Vic.</v>
      </c>
    </row>
    <row r="1064" spans="1:9" x14ac:dyDescent="0.2">
      <c r="A1064" s="704">
        <v>3280</v>
      </c>
      <c r="B1064" s="704">
        <v>3280</v>
      </c>
      <c r="C1064" s="704" t="s">
        <v>582</v>
      </c>
      <c r="D1064" s="704" t="s">
        <v>541</v>
      </c>
      <c r="E1064" s="704">
        <v>0.99998100000000001</v>
      </c>
      <c r="F1064" s="704">
        <v>99.998099999999994</v>
      </c>
      <c r="H1064">
        <f t="shared" si="94"/>
        <v>3280</v>
      </c>
      <c r="I1064" t="str">
        <f t="shared" si="95"/>
        <v>Rest of Vic.</v>
      </c>
    </row>
    <row r="1065" spans="1:9" x14ac:dyDescent="0.2">
      <c r="A1065" s="704">
        <v>3281</v>
      </c>
      <c r="B1065" s="704">
        <v>3281</v>
      </c>
      <c r="C1065" s="704" t="s">
        <v>582</v>
      </c>
      <c r="D1065" s="704" t="s">
        <v>541</v>
      </c>
      <c r="E1065" s="704">
        <v>1</v>
      </c>
      <c r="F1065" s="704">
        <v>100</v>
      </c>
      <c r="H1065">
        <f t="shared" si="94"/>
        <v>3281</v>
      </c>
      <c r="I1065" t="str">
        <f t="shared" si="95"/>
        <v>Rest of Vic.</v>
      </c>
    </row>
    <row r="1066" spans="1:9" x14ac:dyDescent="0.2">
      <c r="A1066" s="704">
        <v>3282</v>
      </c>
      <c r="B1066" s="704">
        <v>3282</v>
      </c>
      <c r="C1066" s="704" t="s">
        <v>582</v>
      </c>
      <c r="D1066" s="704" t="s">
        <v>541</v>
      </c>
      <c r="E1066" s="704">
        <v>1</v>
      </c>
      <c r="F1066" s="704">
        <v>100</v>
      </c>
      <c r="H1066">
        <f t="shared" si="94"/>
        <v>3282</v>
      </c>
      <c r="I1066" t="str">
        <f t="shared" si="95"/>
        <v>Rest of Vic.</v>
      </c>
    </row>
    <row r="1067" spans="1:9" x14ac:dyDescent="0.2">
      <c r="A1067" s="704">
        <v>3283</v>
      </c>
      <c r="B1067" s="704">
        <v>3283</v>
      </c>
      <c r="C1067" s="704" t="s">
        <v>582</v>
      </c>
      <c r="D1067" s="704" t="s">
        <v>541</v>
      </c>
      <c r="E1067" s="704">
        <v>1</v>
      </c>
      <c r="F1067" s="704">
        <v>100</v>
      </c>
      <c r="H1067">
        <f t="shared" si="94"/>
        <v>3283</v>
      </c>
      <c r="I1067" t="str">
        <f t="shared" si="95"/>
        <v>Rest of Vic.</v>
      </c>
    </row>
    <row r="1068" spans="1:9" x14ac:dyDescent="0.2">
      <c r="A1068" s="704">
        <v>3284</v>
      </c>
      <c r="B1068" s="704">
        <v>3284</v>
      </c>
      <c r="C1068" s="704" t="s">
        <v>582</v>
      </c>
      <c r="D1068" s="704" t="s">
        <v>541</v>
      </c>
      <c r="E1068" s="704">
        <v>1</v>
      </c>
      <c r="F1068" s="704">
        <v>100</v>
      </c>
      <c r="H1068">
        <f t="shared" si="94"/>
        <v>3284</v>
      </c>
      <c r="I1068" t="str">
        <f t="shared" si="95"/>
        <v>Rest of Vic.</v>
      </c>
    </row>
    <row r="1069" spans="1:9" x14ac:dyDescent="0.2">
      <c r="A1069" s="704">
        <v>3285</v>
      </c>
      <c r="B1069" s="704">
        <v>3285</v>
      </c>
      <c r="C1069" s="704" t="s">
        <v>582</v>
      </c>
      <c r="D1069" s="704" t="s">
        <v>541</v>
      </c>
      <c r="E1069" s="704">
        <v>1</v>
      </c>
      <c r="F1069" s="704">
        <v>100</v>
      </c>
      <c r="H1069">
        <f t="shared" si="94"/>
        <v>3285</v>
      </c>
      <c r="I1069" t="str">
        <f t="shared" si="95"/>
        <v>Rest of Vic.</v>
      </c>
    </row>
    <row r="1070" spans="1:9" x14ac:dyDescent="0.2">
      <c r="A1070" s="704">
        <v>3286</v>
      </c>
      <c r="B1070" s="704">
        <v>3286</v>
      </c>
      <c r="C1070" s="704" t="s">
        <v>582</v>
      </c>
      <c r="D1070" s="704" t="s">
        <v>541</v>
      </c>
      <c r="E1070" s="704">
        <v>1</v>
      </c>
      <c r="F1070" s="704">
        <v>100</v>
      </c>
      <c r="H1070">
        <f t="shared" si="94"/>
        <v>3286</v>
      </c>
      <c r="I1070" t="str">
        <f t="shared" si="95"/>
        <v>Rest of Vic.</v>
      </c>
    </row>
    <row r="1071" spans="1:9" x14ac:dyDescent="0.2">
      <c r="A1071" s="704">
        <v>3287</v>
      </c>
      <c r="B1071" s="704">
        <v>3287</v>
      </c>
      <c r="C1071" s="704" t="s">
        <v>582</v>
      </c>
      <c r="D1071" s="704" t="s">
        <v>541</v>
      </c>
      <c r="E1071" s="704">
        <v>1</v>
      </c>
      <c r="F1071" s="704">
        <v>100</v>
      </c>
      <c r="H1071">
        <f t="shared" si="94"/>
        <v>3287</v>
      </c>
      <c r="I1071" t="str">
        <f t="shared" si="95"/>
        <v>Rest of Vic.</v>
      </c>
    </row>
    <row r="1072" spans="1:9" x14ac:dyDescent="0.2">
      <c r="A1072" s="704">
        <v>3289</v>
      </c>
      <c r="B1072" s="704">
        <v>3289</v>
      </c>
      <c r="C1072" s="704" t="s">
        <v>582</v>
      </c>
      <c r="D1072" s="704" t="s">
        <v>541</v>
      </c>
      <c r="E1072" s="704">
        <v>1</v>
      </c>
      <c r="F1072" s="704">
        <v>100</v>
      </c>
      <c r="H1072">
        <f t="shared" si="94"/>
        <v>3289</v>
      </c>
      <c r="I1072" t="str">
        <f t="shared" si="95"/>
        <v>Rest of Vic.</v>
      </c>
    </row>
    <row r="1073" spans="1:9" x14ac:dyDescent="0.2">
      <c r="A1073" s="704">
        <v>3292</v>
      </c>
      <c r="B1073" s="704">
        <v>3292</v>
      </c>
      <c r="C1073" s="704" t="s">
        <v>582</v>
      </c>
      <c r="D1073" s="704" t="s">
        <v>541</v>
      </c>
      <c r="E1073" s="704">
        <v>1</v>
      </c>
      <c r="F1073" s="704">
        <v>100</v>
      </c>
      <c r="H1073">
        <f t="shared" si="94"/>
        <v>3292</v>
      </c>
      <c r="I1073" t="str">
        <f t="shared" si="95"/>
        <v>Rest of Vic.</v>
      </c>
    </row>
    <row r="1074" spans="1:9" x14ac:dyDescent="0.2">
      <c r="A1074" s="704">
        <v>3293</v>
      </c>
      <c r="B1074" s="704">
        <v>3293</v>
      </c>
      <c r="C1074" s="704" t="s">
        <v>582</v>
      </c>
      <c r="D1074" s="704" t="s">
        <v>541</v>
      </c>
      <c r="E1074" s="704">
        <v>1</v>
      </c>
      <c r="F1074" s="704">
        <v>100</v>
      </c>
      <c r="H1074">
        <f t="shared" si="94"/>
        <v>3293</v>
      </c>
      <c r="I1074" t="str">
        <f t="shared" si="95"/>
        <v>Rest of Vic.</v>
      </c>
    </row>
    <row r="1075" spans="1:9" x14ac:dyDescent="0.2">
      <c r="A1075" s="704">
        <v>3294</v>
      </c>
      <c r="B1075" s="704">
        <v>3294</v>
      </c>
      <c r="C1075" s="704" t="s">
        <v>582</v>
      </c>
      <c r="D1075" s="704" t="s">
        <v>541</v>
      </c>
      <c r="E1075" s="704">
        <v>1</v>
      </c>
      <c r="F1075" s="704">
        <v>100</v>
      </c>
      <c r="H1075">
        <f t="shared" si="94"/>
        <v>3294</v>
      </c>
      <c r="I1075" t="str">
        <f t="shared" si="95"/>
        <v>Rest of Vic.</v>
      </c>
    </row>
    <row r="1076" spans="1:9" x14ac:dyDescent="0.2">
      <c r="A1076" s="704">
        <v>3300</v>
      </c>
      <c r="B1076" s="704">
        <v>3300</v>
      </c>
      <c r="C1076" s="704" t="s">
        <v>582</v>
      </c>
      <c r="D1076" s="704" t="s">
        <v>541</v>
      </c>
      <c r="E1076" s="704">
        <v>1</v>
      </c>
      <c r="F1076" s="704">
        <v>100</v>
      </c>
      <c r="H1076">
        <f t="shared" si="94"/>
        <v>3300</v>
      </c>
      <c r="I1076" t="str">
        <f t="shared" si="95"/>
        <v>Rest of Vic.</v>
      </c>
    </row>
    <row r="1077" spans="1:9" x14ac:dyDescent="0.2">
      <c r="A1077" s="704">
        <v>3301</v>
      </c>
      <c r="B1077" s="704">
        <v>3301</v>
      </c>
      <c r="C1077" s="704" t="s">
        <v>582</v>
      </c>
      <c r="D1077" s="704" t="s">
        <v>541</v>
      </c>
      <c r="E1077" s="704">
        <v>1</v>
      </c>
      <c r="F1077" s="704">
        <v>100</v>
      </c>
      <c r="H1077">
        <f t="shared" si="94"/>
        <v>3301</v>
      </c>
      <c r="I1077" t="str">
        <f t="shared" si="95"/>
        <v>Rest of Vic.</v>
      </c>
    </row>
    <row r="1078" spans="1:9" x14ac:dyDescent="0.2">
      <c r="A1078" s="704">
        <v>3302</v>
      </c>
      <c r="B1078" s="704">
        <v>3302</v>
      </c>
      <c r="C1078" s="704" t="s">
        <v>582</v>
      </c>
      <c r="D1078" s="704" t="s">
        <v>541</v>
      </c>
      <c r="E1078" s="704">
        <v>1</v>
      </c>
      <c r="F1078" s="704">
        <v>100</v>
      </c>
      <c r="H1078">
        <f t="shared" si="94"/>
        <v>3302</v>
      </c>
      <c r="I1078" t="str">
        <f t="shared" si="95"/>
        <v>Rest of Vic.</v>
      </c>
    </row>
    <row r="1079" spans="1:9" x14ac:dyDescent="0.2">
      <c r="A1079" s="704">
        <v>3303</v>
      </c>
      <c r="B1079" s="704">
        <v>3303</v>
      </c>
      <c r="C1079" s="704" t="s">
        <v>582</v>
      </c>
      <c r="D1079" s="704" t="s">
        <v>541</v>
      </c>
      <c r="E1079" s="704">
        <v>1</v>
      </c>
      <c r="F1079" s="704">
        <v>100</v>
      </c>
      <c r="H1079">
        <f t="shared" si="94"/>
        <v>3303</v>
      </c>
      <c r="I1079" t="str">
        <f t="shared" si="95"/>
        <v>Rest of Vic.</v>
      </c>
    </row>
    <row r="1080" spans="1:9" x14ac:dyDescent="0.2">
      <c r="A1080" s="704">
        <v>3304</v>
      </c>
      <c r="B1080" s="704">
        <v>3304</v>
      </c>
      <c r="C1080" s="704" t="s">
        <v>582</v>
      </c>
      <c r="D1080" s="704" t="s">
        <v>541</v>
      </c>
      <c r="E1080" s="704">
        <v>1</v>
      </c>
      <c r="F1080" s="704">
        <v>100</v>
      </c>
      <c r="H1080">
        <f t="shared" si="94"/>
        <v>3304</v>
      </c>
      <c r="I1080" t="str">
        <f t="shared" si="95"/>
        <v>Rest of Vic.</v>
      </c>
    </row>
    <row r="1081" spans="1:9" x14ac:dyDescent="0.2">
      <c r="A1081" s="704">
        <v>3305</v>
      </c>
      <c r="B1081" s="704">
        <v>3305</v>
      </c>
      <c r="C1081" s="704" t="s">
        <v>582</v>
      </c>
      <c r="D1081" s="704" t="s">
        <v>541</v>
      </c>
      <c r="E1081" s="704">
        <v>1</v>
      </c>
      <c r="F1081" s="704">
        <v>100</v>
      </c>
      <c r="H1081">
        <f t="shared" ref="H1081:H1144" si="96">A1081*1</f>
        <v>3305</v>
      </c>
      <c r="I1081" t="str">
        <f t="shared" ref="I1081:I1144" si="97">D1081</f>
        <v>Rest of Vic.</v>
      </c>
    </row>
    <row r="1082" spans="1:9" x14ac:dyDescent="0.2">
      <c r="A1082" s="704">
        <v>3309</v>
      </c>
      <c r="B1082" s="704">
        <v>3309</v>
      </c>
      <c r="C1082" s="704" t="s">
        <v>582</v>
      </c>
      <c r="D1082" s="704" t="s">
        <v>541</v>
      </c>
      <c r="E1082" s="704">
        <v>1</v>
      </c>
      <c r="F1082" s="704">
        <v>100</v>
      </c>
      <c r="H1082">
        <f t="shared" si="96"/>
        <v>3309</v>
      </c>
      <c r="I1082" t="str">
        <f t="shared" si="97"/>
        <v>Rest of Vic.</v>
      </c>
    </row>
    <row r="1083" spans="1:9" x14ac:dyDescent="0.2">
      <c r="A1083" s="704">
        <v>3310</v>
      </c>
      <c r="B1083" s="704">
        <v>3310</v>
      </c>
      <c r="C1083" s="704" t="s">
        <v>582</v>
      </c>
      <c r="D1083" s="704" t="s">
        <v>541</v>
      </c>
      <c r="E1083" s="704">
        <v>1</v>
      </c>
      <c r="F1083" s="704">
        <v>100</v>
      </c>
      <c r="H1083">
        <f t="shared" si="96"/>
        <v>3310</v>
      </c>
      <c r="I1083" t="str">
        <f t="shared" si="97"/>
        <v>Rest of Vic.</v>
      </c>
    </row>
    <row r="1084" spans="1:9" x14ac:dyDescent="0.2">
      <c r="A1084" s="704">
        <v>3311</v>
      </c>
      <c r="B1084" s="704">
        <v>3311</v>
      </c>
      <c r="C1084" s="704" t="s">
        <v>582</v>
      </c>
      <c r="D1084" s="704" t="s">
        <v>541</v>
      </c>
      <c r="E1084" s="704">
        <v>1</v>
      </c>
      <c r="F1084" s="704">
        <v>100</v>
      </c>
      <c r="H1084">
        <f t="shared" si="96"/>
        <v>3311</v>
      </c>
      <c r="I1084" t="str">
        <f t="shared" si="97"/>
        <v>Rest of Vic.</v>
      </c>
    </row>
    <row r="1085" spans="1:9" x14ac:dyDescent="0.2">
      <c r="A1085" s="704">
        <v>3312</v>
      </c>
      <c r="B1085" s="704">
        <v>3312</v>
      </c>
      <c r="C1085" s="704" t="s">
        <v>582</v>
      </c>
      <c r="D1085" s="704" t="s">
        <v>541</v>
      </c>
      <c r="E1085" s="704">
        <v>1</v>
      </c>
      <c r="F1085" s="704">
        <v>100</v>
      </c>
      <c r="H1085">
        <f t="shared" si="96"/>
        <v>3312</v>
      </c>
      <c r="I1085" t="str">
        <f t="shared" si="97"/>
        <v>Rest of Vic.</v>
      </c>
    </row>
    <row r="1086" spans="1:9" x14ac:dyDescent="0.2">
      <c r="A1086" s="704">
        <v>3314</v>
      </c>
      <c r="B1086" s="704">
        <v>3314</v>
      </c>
      <c r="C1086" s="704" t="s">
        <v>582</v>
      </c>
      <c r="D1086" s="704" t="s">
        <v>541</v>
      </c>
      <c r="E1086" s="704">
        <v>1</v>
      </c>
      <c r="F1086" s="704">
        <v>100</v>
      </c>
      <c r="H1086">
        <f t="shared" si="96"/>
        <v>3314</v>
      </c>
      <c r="I1086" t="str">
        <f t="shared" si="97"/>
        <v>Rest of Vic.</v>
      </c>
    </row>
    <row r="1087" spans="1:9" x14ac:dyDescent="0.2">
      <c r="A1087" s="704">
        <v>3315</v>
      </c>
      <c r="B1087" s="704">
        <v>3315</v>
      </c>
      <c r="C1087" s="704" t="s">
        <v>582</v>
      </c>
      <c r="D1087" s="704" t="s">
        <v>541</v>
      </c>
      <c r="E1087" s="704">
        <v>1</v>
      </c>
      <c r="F1087" s="704">
        <v>100</v>
      </c>
      <c r="H1087">
        <f t="shared" si="96"/>
        <v>3315</v>
      </c>
      <c r="I1087" t="str">
        <f t="shared" si="97"/>
        <v>Rest of Vic.</v>
      </c>
    </row>
    <row r="1088" spans="1:9" x14ac:dyDescent="0.2">
      <c r="A1088" s="704">
        <v>3317</v>
      </c>
      <c r="B1088" s="704">
        <v>3317</v>
      </c>
      <c r="C1088" s="704" t="s">
        <v>582</v>
      </c>
      <c r="D1088" s="704" t="s">
        <v>541</v>
      </c>
      <c r="E1088" s="704">
        <v>1</v>
      </c>
      <c r="F1088" s="704">
        <v>100</v>
      </c>
      <c r="H1088">
        <f t="shared" si="96"/>
        <v>3317</v>
      </c>
      <c r="I1088" t="str">
        <f t="shared" si="97"/>
        <v>Rest of Vic.</v>
      </c>
    </row>
    <row r="1089" spans="1:9" x14ac:dyDescent="0.2">
      <c r="A1089" s="704">
        <v>3318</v>
      </c>
      <c r="B1089" s="704">
        <v>3318</v>
      </c>
      <c r="C1089" s="704" t="s">
        <v>582</v>
      </c>
      <c r="D1089" s="704" t="s">
        <v>541</v>
      </c>
      <c r="E1089" s="704">
        <v>1</v>
      </c>
      <c r="F1089" s="704">
        <v>100</v>
      </c>
      <c r="H1089">
        <f t="shared" si="96"/>
        <v>3318</v>
      </c>
      <c r="I1089" t="str">
        <f t="shared" si="97"/>
        <v>Rest of Vic.</v>
      </c>
    </row>
    <row r="1090" spans="1:9" x14ac:dyDescent="0.2">
      <c r="A1090" s="704">
        <v>3319</v>
      </c>
      <c r="B1090" s="704">
        <v>3319</v>
      </c>
      <c r="C1090" s="704" t="s">
        <v>582</v>
      </c>
      <c r="D1090" s="704" t="s">
        <v>541</v>
      </c>
      <c r="E1090" s="704">
        <v>1</v>
      </c>
      <c r="F1090" s="704">
        <v>100</v>
      </c>
      <c r="H1090">
        <f t="shared" si="96"/>
        <v>3319</v>
      </c>
      <c r="I1090" t="str">
        <f t="shared" si="97"/>
        <v>Rest of Vic.</v>
      </c>
    </row>
    <row r="1091" spans="1:9" x14ac:dyDescent="0.2">
      <c r="A1091" s="704">
        <v>3321</v>
      </c>
      <c r="B1091" s="704">
        <v>3321</v>
      </c>
      <c r="C1091" s="704" t="s">
        <v>582</v>
      </c>
      <c r="D1091" s="704" t="s">
        <v>541</v>
      </c>
      <c r="E1091" s="704">
        <v>1</v>
      </c>
      <c r="F1091" s="704">
        <v>100</v>
      </c>
      <c r="H1091">
        <f t="shared" si="96"/>
        <v>3321</v>
      </c>
      <c r="I1091" t="str">
        <f t="shared" si="97"/>
        <v>Rest of Vic.</v>
      </c>
    </row>
    <row r="1092" spans="1:9" x14ac:dyDescent="0.2">
      <c r="A1092" s="704">
        <v>3322</v>
      </c>
      <c r="B1092" s="704">
        <v>3322</v>
      </c>
      <c r="C1092" s="704" t="s">
        <v>582</v>
      </c>
      <c r="D1092" s="704" t="s">
        <v>541</v>
      </c>
      <c r="E1092" s="704">
        <v>1</v>
      </c>
      <c r="F1092" s="704">
        <v>100</v>
      </c>
      <c r="H1092">
        <f t="shared" si="96"/>
        <v>3322</v>
      </c>
      <c r="I1092" t="str">
        <f t="shared" si="97"/>
        <v>Rest of Vic.</v>
      </c>
    </row>
    <row r="1093" spans="1:9" x14ac:dyDescent="0.2">
      <c r="A1093" s="704">
        <v>3323</v>
      </c>
      <c r="B1093" s="704">
        <v>3323</v>
      </c>
      <c r="C1093" s="704" t="s">
        <v>582</v>
      </c>
      <c r="D1093" s="704" t="s">
        <v>541</v>
      </c>
      <c r="E1093" s="704">
        <v>1</v>
      </c>
      <c r="F1093" s="704">
        <v>100</v>
      </c>
      <c r="H1093">
        <f t="shared" si="96"/>
        <v>3323</v>
      </c>
      <c r="I1093" t="str">
        <f t="shared" si="97"/>
        <v>Rest of Vic.</v>
      </c>
    </row>
    <row r="1094" spans="1:9" x14ac:dyDescent="0.2">
      <c r="A1094" s="704">
        <v>3324</v>
      </c>
      <c r="B1094" s="704">
        <v>3324</v>
      </c>
      <c r="C1094" s="704" t="s">
        <v>582</v>
      </c>
      <c r="D1094" s="704" t="s">
        <v>541</v>
      </c>
      <c r="E1094" s="704">
        <v>1</v>
      </c>
      <c r="F1094" s="704">
        <v>100</v>
      </c>
      <c r="H1094">
        <f t="shared" si="96"/>
        <v>3324</v>
      </c>
      <c r="I1094" t="str">
        <f t="shared" si="97"/>
        <v>Rest of Vic.</v>
      </c>
    </row>
    <row r="1095" spans="1:9" x14ac:dyDescent="0.2">
      <c r="A1095" s="704">
        <v>3325</v>
      </c>
      <c r="B1095" s="704">
        <v>3325</v>
      </c>
      <c r="C1095" s="704" t="s">
        <v>582</v>
      </c>
      <c r="D1095" s="704" t="s">
        <v>541</v>
      </c>
      <c r="E1095" s="704">
        <v>1</v>
      </c>
      <c r="F1095" s="704">
        <v>100</v>
      </c>
      <c r="H1095">
        <f t="shared" si="96"/>
        <v>3325</v>
      </c>
      <c r="I1095" t="str">
        <f t="shared" si="97"/>
        <v>Rest of Vic.</v>
      </c>
    </row>
    <row r="1096" spans="1:9" x14ac:dyDescent="0.2">
      <c r="A1096" s="704">
        <v>3328</v>
      </c>
      <c r="B1096" s="704">
        <v>3328</v>
      </c>
      <c r="C1096" s="704" t="s">
        <v>582</v>
      </c>
      <c r="D1096" s="704" t="s">
        <v>541</v>
      </c>
      <c r="E1096" s="704">
        <v>1</v>
      </c>
      <c r="F1096" s="704">
        <v>100</v>
      </c>
      <c r="H1096">
        <f t="shared" si="96"/>
        <v>3328</v>
      </c>
      <c r="I1096" t="str">
        <f t="shared" si="97"/>
        <v>Rest of Vic.</v>
      </c>
    </row>
    <row r="1097" spans="1:9" x14ac:dyDescent="0.2">
      <c r="A1097" s="704">
        <v>3329</v>
      </c>
      <c r="B1097" s="704">
        <v>3329</v>
      </c>
      <c r="C1097" s="704" t="s">
        <v>582</v>
      </c>
      <c r="D1097" s="704" t="s">
        <v>541</v>
      </c>
      <c r="E1097" s="704">
        <v>1</v>
      </c>
      <c r="F1097" s="704">
        <v>100</v>
      </c>
      <c r="H1097">
        <f t="shared" si="96"/>
        <v>3329</v>
      </c>
      <c r="I1097" t="str">
        <f t="shared" si="97"/>
        <v>Rest of Vic.</v>
      </c>
    </row>
    <row r="1098" spans="1:9" x14ac:dyDescent="0.2">
      <c r="A1098" s="704">
        <v>3330</v>
      </c>
      <c r="B1098" s="704">
        <v>3330</v>
      </c>
      <c r="C1098" s="704" t="s">
        <v>582</v>
      </c>
      <c r="D1098" s="704" t="s">
        <v>541</v>
      </c>
      <c r="E1098" s="704">
        <v>1</v>
      </c>
      <c r="F1098" s="704">
        <v>100</v>
      </c>
      <c r="H1098">
        <f t="shared" si="96"/>
        <v>3330</v>
      </c>
      <c r="I1098" t="str">
        <f t="shared" si="97"/>
        <v>Rest of Vic.</v>
      </c>
    </row>
    <row r="1099" spans="1:9" x14ac:dyDescent="0.2">
      <c r="A1099" s="704">
        <v>3331</v>
      </c>
      <c r="B1099" s="704">
        <v>3331</v>
      </c>
      <c r="C1099" s="704" t="s">
        <v>582</v>
      </c>
      <c r="D1099" s="704" t="s">
        <v>541</v>
      </c>
      <c r="E1099" s="704">
        <v>1</v>
      </c>
      <c r="F1099" s="704">
        <v>100</v>
      </c>
      <c r="H1099">
        <f t="shared" si="96"/>
        <v>3331</v>
      </c>
      <c r="I1099" t="str">
        <f t="shared" si="97"/>
        <v>Rest of Vic.</v>
      </c>
    </row>
    <row r="1100" spans="1:9" x14ac:dyDescent="0.2">
      <c r="A1100" s="704">
        <v>3332</v>
      </c>
      <c r="B1100" s="704">
        <v>3332</v>
      </c>
      <c r="C1100" s="704" t="s">
        <v>582</v>
      </c>
      <c r="D1100" s="704" t="s">
        <v>541</v>
      </c>
      <c r="E1100" s="704">
        <v>1</v>
      </c>
      <c r="F1100" s="704">
        <v>100</v>
      </c>
      <c r="H1100">
        <f t="shared" si="96"/>
        <v>3332</v>
      </c>
      <c r="I1100" t="str">
        <f t="shared" si="97"/>
        <v>Rest of Vic.</v>
      </c>
    </row>
    <row r="1101" spans="1:9" x14ac:dyDescent="0.2">
      <c r="A1101" s="704">
        <v>3333</v>
      </c>
      <c r="B1101" s="704">
        <v>3333</v>
      </c>
      <c r="C1101" s="704" t="s">
        <v>582</v>
      </c>
      <c r="D1101" s="704" t="s">
        <v>541</v>
      </c>
      <c r="E1101" s="704">
        <v>1</v>
      </c>
      <c r="F1101" s="704">
        <v>100</v>
      </c>
      <c r="H1101">
        <f t="shared" si="96"/>
        <v>3333</v>
      </c>
      <c r="I1101" t="str">
        <f t="shared" si="97"/>
        <v>Rest of Vic.</v>
      </c>
    </row>
    <row r="1102" spans="1:9" x14ac:dyDescent="0.2">
      <c r="A1102" s="704">
        <v>3334</v>
      </c>
      <c r="B1102" s="704">
        <v>3334</v>
      </c>
      <c r="C1102" s="704" t="s">
        <v>582</v>
      </c>
      <c r="D1102" s="704" t="s">
        <v>541</v>
      </c>
      <c r="E1102" s="704">
        <v>1</v>
      </c>
      <c r="F1102" s="704">
        <v>100</v>
      </c>
      <c r="H1102">
        <f t="shared" si="96"/>
        <v>3334</v>
      </c>
      <c r="I1102" t="str">
        <f t="shared" si="97"/>
        <v>Rest of Vic.</v>
      </c>
    </row>
    <row r="1103" spans="1:9" x14ac:dyDescent="0.2">
      <c r="A1103" s="704">
        <v>3335</v>
      </c>
      <c r="B1103" s="704">
        <v>3335</v>
      </c>
      <c r="C1103" s="704" t="s">
        <v>583</v>
      </c>
      <c r="D1103" s="704" t="s">
        <v>544</v>
      </c>
      <c r="E1103" s="704">
        <v>1</v>
      </c>
      <c r="F1103" s="704">
        <v>100</v>
      </c>
      <c r="H1103">
        <f t="shared" si="96"/>
        <v>3335</v>
      </c>
      <c r="I1103" t="str">
        <f t="shared" si="97"/>
        <v>Greater Melbourne</v>
      </c>
    </row>
    <row r="1104" spans="1:9" x14ac:dyDescent="0.2">
      <c r="A1104" s="704">
        <v>3337</v>
      </c>
      <c r="B1104" s="704">
        <v>3337</v>
      </c>
      <c r="C1104" s="704" t="s">
        <v>583</v>
      </c>
      <c r="D1104" s="704" t="s">
        <v>544</v>
      </c>
      <c r="E1104" s="704">
        <v>1</v>
      </c>
      <c r="F1104" s="704">
        <v>100</v>
      </c>
      <c r="H1104">
        <f t="shared" si="96"/>
        <v>3337</v>
      </c>
      <c r="I1104" t="str">
        <f t="shared" si="97"/>
        <v>Greater Melbourne</v>
      </c>
    </row>
    <row r="1105" spans="1:9" x14ac:dyDescent="0.2">
      <c r="A1105" s="704">
        <v>3338</v>
      </c>
      <c r="B1105" s="704">
        <v>3338</v>
      </c>
      <c r="C1105" s="704" t="s">
        <v>583</v>
      </c>
      <c r="D1105" s="704" t="s">
        <v>544</v>
      </c>
      <c r="E1105" s="704">
        <v>1</v>
      </c>
      <c r="F1105" s="704">
        <v>100</v>
      </c>
      <c r="H1105">
        <f t="shared" si="96"/>
        <v>3338</v>
      </c>
      <c r="I1105" t="str">
        <f t="shared" si="97"/>
        <v>Greater Melbourne</v>
      </c>
    </row>
    <row r="1106" spans="1:9" x14ac:dyDescent="0.2">
      <c r="A1106" s="704">
        <v>3340</v>
      </c>
      <c r="B1106" s="704">
        <v>3340</v>
      </c>
      <c r="C1106" s="704" t="s">
        <v>583</v>
      </c>
      <c r="D1106" s="704" t="s">
        <v>544</v>
      </c>
      <c r="E1106" s="704">
        <v>0.95588499999999998</v>
      </c>
      <c r="F1106" s="704">
        <v>95.588499999999996</v>
      </c>
      <c r="H1106">
        <f t="shared" si="96"/>
        <v>3340</v>
      </c>
      <c r="I1106" t="str">
        <f t="shared" si="97"/>
        <v>Greater Melbourne</v>
      </c>
    </row>
    <row r="1107" spans="1:9" x14ac:dyDescent="0.2">
      <c r="A1107" s="704">
        <v>3340</v>
      </c>
      <c r="B1107" s="704">
        <v>3340</v>
      </c>
      <c r="C1107" s="704" t="s">
        <v>582</v>
      </c>
      <c r="D1107" s="704" t="s">
        <v>541</v>
      </c>
      <c r="E1107" s="704">
        <v>4.41147E-2</v>
      </c>
      <c r="F1107" s="704">
        <v>4.4114699999999996</v>
      </c>
      <c r="H1107">
        <f t="shared" si="96"/>
        <v>3340</v>
      </c>
      <c r="I1107" t="str">
        <f t="shared" si="97"/>
        <v>Rest of Vic.</v>
      </c>
    </row>
    <row r="1108" spans="1:9" x14ac:dyDescent="0.2">
      <c r="A1108" s="704">
        <v>3341</v>
      </c>
      <c r="B1108" s="704">
        <v>3341</v>
      </c>
      <c r="C1108" s="704" t="s">
        <v>583</v>
      </c>
      <c r="D1108" s="704" t="s">
        <v>544</v>
      </c>
      <c r="E1108" s="704">
        <v>0.11854000000000001</v>
      </c>
      <c r="F1108" s="704">
        <v>11.853999999999999</v>
      </c>
      <c r="H1108">
        <f t="shared" si="96"/>
        <v>3341</v>
      </c>
      <c r="I1108" t="str">
        <f t="shared" si="97"/>
        <v>Greater Melbourne</v>
      </c>
    </row>
    <row r="1109" spans="1:9" x14ac:dyDescent="0.2">
      <c r="A1109" s="704">
        <v>3341</v>
      </c>
      <c r="B1109" s="704">
        <v>3341</v>
      </c>
      <c r="C1109" s="704" t="s">
        <v>582</v>
      </c>
      <c r="D1109" s="704" t="s">
        <v>541</v>
      </c>
      <c r="E1109" s="704">
        <v>0.88146000000000002</v>
      </c>
      <c r="F1109" s="704">
        <v>88.146000000000001</v>
      </c>
      <c r="H1109">
        <f t="shared" si="96"/>
        <v>3341</v>
      </c>
      <c r="I1109" t="str">
        <f t="shared" si="97"/>
        <v>Rest of Vic.</v>
      </c>
    </row>
    <row r="1110" spans="1:9" x14ac:dyDescent="0.2">
      <c r="A1110" s="704">
        <v>3342</v>
      </c>
      <c r="B1110" s="704">
        <v>3342</v>
      </c>
      <c r="C1110" s="704" t="s">
        <v>582</v>
      </c>
      <c r="D1110" s="704" t="s">
        <v>541</v>
      </c>
      <c r="E1110" s="704">
        <v>1</v>
      </c>
      <c r="F1110" s="704">
        <v>100</v>
      </c>
      <c r="H1110">
        <f t="shared" si="96"/>
        <v>3342</v>
      </c>
      <c r="I1110" t="str">
        <f t="shared" si="97"/>
        <v>Rest of Vic.</v>
      </c>
    </row>
    <row r="1111" spans="1:9" x14ac:dyDescent="0.2">
      <c r="A1111" s="704">
        <v>3345</v>
      </c>
      <c r="B1111" s="704">
        <v>3345</v>
      </c>
      <c r="C1111" s="704" t="s">
        <v>582</v>
      </c>
      <c r="D1111" s="704" t="s">
        <v>541</v>
      </c>
      <c r="E1111" s="704">
        <v>1</v>
      </c>
      <c r="F1111" s="704">
        <v>100</v>
      </c>
      <c r="H1111">
        <f t="shared" si="96"/>
        <v>3345</v>
      </c>
      <c r="I1111" t="str">
        <f t="shared" si="97"/>
        <v>Rest of Vic.</v>
      </c>
    </row>
    <row r="1112" spans="1:9" x14ac:dyDescent="0.2">
      <c r="A1112" s="704">
        <v>3350</v>
      </c>
      <c r="B1112" s="704">
        <v>3350</v>
      </c>
      <c r="C1112" s="704" t="s">
        <v>582</v>
      </c>
      <c r="D1112" s="704" t="s">
        <v>541</v>
      </c>
      <c r="E1112" s="704">
        <v>1</v>
      </c>
      <c r="F1112" s="704">
        <v>100</v>
      </c>
      <c r="H1112">
        <f t="shared" si="96"/>
        <v>3350</v>
      </c>
      <c r="I1112" t="str">
        <f t="shared" si="97"/>
        <v>Rest of Vic.</v>
      </c>
    </row>
    <row r="1113" spans="1:9" x14ac:dyDescent="0.2">
      <c r="A1113" s="704">
        <v>3351</v>
      </c>
      <c r="B1113" s="704">
        <v>3351</v>
      </c>
      <c r="C1113" s="704" t="s">
        <v>582</v>
      </c>
      <c r="D1113" s="704" t="s">
        <v>541</v>
      </c>
      <c r="E1113" s="704">
        <v>1</v>
      </c>
      <c r="F1113" s="704">
        <v>100</v>
      </c>
      <c r="H1113">
        <f t="shared" si="96"/>
        <v>3351</v>
      </c>
      <c r="I1113" t="str">
        <f t="shared" si="97"/>
        <v>Rest of Vic.</v>
      </c>
    </row>
    <row r="1114" spans="1:9" x14ac:dyDescent="0.2">
      <c r="A1114" s="704">
        <v>3352</v>
      </c>
      <c r="B1114" s="704">
        <v>3352</v>
      </c>
      <c r="C1114" s="704" t="s">
        <v>582</v>
      </c>
      <c r="D1114" s="704" t="s">
        <v>541</v>
      </c>
      <c r="E1114" s="704">
        <v>1</v>
      </c>
      <c r="F1114" s="704">
        <v>100</v>
      </c>
      <c r="H1114">
        <f t="shared" si="96"/>
        <v>3352</v>
      </c>
      <c r="I1114" t="str">
        <f t="shared" si="97"/>
        <v>Rest of Vic.</v>
      </c>
    </row>
    <row r="1115" spans="1:9" x14ac:dyDescent="0.2">
      <c r="A1115" s="704">
        <v>3355</v>
      </c>
      <c r="B1115" s="704">
        <v>3355</v>
      </c>
      <c r="C1115" s="704" t="s">
        <v>582</v>
      </c>
      <c r="D1115" s="704" t="s">
        <v>541</v>
      </c>
      <c r="E1115" s="704">
        <v>1</v>
      </c>
      <c r="F1115" s="704">
        <v>100</v>
      </c>
      <c r="H1115">
        <f t="shared" si="96"/>
        <v>3355</v>
      </c>
      <c r="I1115" t="str">
        <f t="shared" si="97"/>
        <v>Rest of Vic.</v>
      </c>
    </row>
    <row r="1116" spans="1:9" x14ac:dyDescent="0.2">
      <c r="A1116" s="704">
        <v>3356</v>
      </c>
      <c r="B1116" s="704">
        <v>3356</v>
      </c>
      <c r="C1116" s="704" t="s">
        <v>582</v>
      </c>
      <c r="D1116" s="704" t="s">
        <v>541</v>
      </c>
      <c r="E1116" s="704">
        <v>1</v>
      </c>
      <c r="F1116" s="704">
        <v>100</v>
      </c>
      <c r="H1116">
        <f t="shared" si="96"/>
        <v>3356</v>
      </c>
      <c r="I1116" t="str">
        <f t="shared" si="97"/>
        <v>Rest of Vic.</v>
      </c>
    </row>
    <row r="1117" spans="1:9" x14ac:dyDescent="0.2">
      <c r="A1117" s="704">
        <v>3357</v>
      </c>
      <c r="B1117" s="704">
        <v>3357</v>
      </c>
      <c r="C1117" s="704" t="s">
        <v>582</v>
      </c>
      <c r="D1117" s="704" t="s">
        <v>541</v>
      </c>
      <c r="E1117" s="704">
        <v>1</v>
      </c>
      <c r="F1117" s="704">
        <v>100</v>
      </c>
      <c r="H1117">
        <f t="shared" si="96"/>
        <v>3357</v>
      </c>
      <c r="I1117" t="str">
        <f t="shared" si="97"/>
        <v>Rest of Vic.</v>
      </c>
    </row>
    <row r="1118" spans="1:9" x14ac:dyDescent="0.2">
      <c r="A1118" s="704">
        <v>3360</v>
      </c>
      <c r="B1118" s="704">
        <v>3360</v>
      </c>
      <c r="C1118" s="704" t="s">
        <v>582</v>
      </c>
      <c r="D1118" s="704" t="s">
        <v>541</v>
      </c>
      <c r="E1118" s="704">
        <v>1</v>
      </c>
      <c r="F1118" s="704">
        <v>100</v>
      </c>
      <c r="H1118">
        <f t="shared" si="96"/>
        <v>3360</v>
      </c>
      <c r="I1118" t="str">
        <f t="shared" si="97"/>
        <v>Rest of Vic.</v>
      </c>
    </row>
    <row r="1119" spans="1:9" x14ac:dyDescent="0.2">
      <c r="A1119" s="704">
        <v>3361</v>
      </c>
      <c r="B1119" s="704">
        <v>3361</v>
      </c>
      <c r="C1119" s="704" t="s">
        <v>582</v>
      </c>
      <c r="D1119" s="704" t="s">
        <v>541</v>
      </c>
      <c r="E1119" s="704">
        <v>1</v>
      </c>
      <c r="F1119" s="704">
        <v>100</v>
      </c>
      <c r="H1119">
        <f t="shared" si="96"/>
        <v>3361</v>
      </c>
      <c r="I1119" t="str">
        <f t="shared" si="97"/>
        <v>Rest of Vic.</v>
      </c>
    </row>
    <row r="1120" spans="1:9" x14ac:dyDescent="0.2">
      <c r="A1120" s="704">
        <v>3363</v>
      </c>
      <c r="B1120" s="704">
        <v>3363</v>
      </c>
      <c r="C1120" s="704" t="s">
        <v>582</v>
      </c>
      <c r="D1120" s="704" t="s">
        <v>541</v>
      </c>
      <c r="E1120" s="704">
        <v>1</v>
      </c>
      <c r="F1120" s="704">
        <v>100</v>
      </c>
      <c r="H1120">
        <f t="shared" si="96"/>
        <v>3363</v>
      </c>
      <c r="I1120" t="str">
        <f t="shared" si="97"/>
        <v>Rest of Vic.</v>
      </c>
    </row>
    <row r="1121" spans="1:9" x14ac:dyDescent="0.2">
      <c r="A1121" s="704">
        <v>3364</v>
      </c>
      <c r="B1121" s="704">
        <v>3364</v>
      </c>
      <c r="C1121" s="704" t="s">
        <v>582</v>
      </c>
      <c r="D1121" s="704" t="s">
        <v>541</v>
      </c>
      <c r="E1121" s="704">
        <v>1</v>
      </c>
      <c r="F1121" s="704">
        <v>100</v>
      </c>
      <c r="H1121">
        <f t="shared" si="96"/>
        <v>3364</v>
      </c>
      <c r="I1121" t="str">
        <f t="shared" si="97"/>
        <v>Rest of Vic.</v>
      </c>
    </row>
    <row r="1122" spans="1:9" x14ac:dyDescent="0.2">
      <c r="A1122" s="704">
        <v>3370</v>
      </c>
      <c r="B1122" s="704">
        <v>3370</v>
      </c>
      <c r="C1122" s="704" t="s">
        <v>582</v>
      </c>
      <c r="D1122" s="704" t="s">
        <v>541</v>
      </c>
      <c r="E1122" s="704">
        <v>1</v>
      </c>
      <c r="F1122" s="704">
        <v>100</v>
      </c>
      <c r="H1122">
        <f t="shared" si="96"/>
        <v>3370</v>
      </c>
      <c r="I1122" t="str">
        <f t="shared" si="97"/>
        <v>Rest of Vic.</v>
      </c>
    </row>
    <row r="1123" spans="1:9" x14ac:dyDescent="0.2">
      <c r="A1123" s="704">
        <v>3371</v>
      </c>
      <c r="B1123" s="704">
        <v>3371</v>
      </c>
      <c r="C1123" s="704" t="s">
        <v>582</v>
      </c>
      <c r="D1123" s="704" t="s">
        <v>541</v>
      </c>
      <c r="E1123" s="704">
        <v>1</v>
      </c>
      <c r="F1123" s="704">
        <v>100</v>
      </c>
      <c r="H1123">
        <f t="shared" si="96"/>
        <v>3371</v>
      </c>
      <c r="I1123" t="str">
        <f t="shared" si="97"/>
        <v>Rest of Vic.</v>
      </c>
    </row>
    <row r="1124" spans="1:9" x14ac:dyDescent="0.2">
      <c r="A1124" s="704">
        <v>3373</v>
      </c>
      <c r="B1124" s="704">
        <v>3373</v>
      </c>
      <c r="C1124" s="704" t="s">
        <v>582</v>
      </c>
      <c r="D1124" s="704" t="s">
        <v>541</v>
      </c>
      <c r="E1124" s="704">
        <v>1</v>
      </c>
      <c r="F1124" s="704">
        <v>100</v>
      </c>
      <c r="H1124">
        <f t="shared" si="96"/>
        <v>3373</v>
      </c>
      <c r="I1124" t="str">
        <f t="shared" si="97"/>
        <v>Rest of Vic.</v>
      </c>
    </row>
    <row r="1125" spans="1:9" x14ac:dyDescent="0.2">
      <c r="A1125" s="704">
        <v>3374</v>
      </c>
      <c r="B1125" s="704">
        <v>3374</v>
      </c>
      <c r="C1125" s="704" t="s">
        <v>582</v>
      </c>
      <c r="D1125" s="704" t="s">
        <v>541</v>
      </c>
      <c r="E1125" s="704">
        <v>1</v>
      </c>
      <c r="F1125" s="704">
        <v>100</v>
      </c>
      <c r="H1125">
        <f t="shared" si="96"/>
        <v>3374</v>
      </c>
      <c r="I1125" t="str">
        <f t="shared" si="97"/>
        <v>Rest of Vic.</v>
      </c>
    </row>
    <row r="1126" spans="1:9" x14ac:dyDescent="0.2">
      <c r="A1126" s="704">
        <v>3375</v>
      </c>
      <c r="B1126" s="704">
        <v>3375</v>
      </c>
      <c r="C1126" s="704" t="s">
        <v>582</v>
      </c>
      <c r="D1126" s="704" t="s">
        <v>541</v>
      </c>
      <c r="E1126" s="704">
        <v>1</v>
      </c>
      <c r="F1126" s="704">
        <v>100</v>
      </c>
      <c r="H1126">
        <f t="shared" si="96"/>
        <v>3375</v>
      </c>
      <c r="I1126" t="str">
        <f t="shared" si="97"/>
        <v>Rest of Vic.</v>
      </c>
    </row>
    <row r="1127" spans="1:9" x14ac:dyDescent="0.2">
      <c r="A1127" s="704">
        <v>3377</v>
      </c>
      <c r="B1127" s="704">
        <v>3377</v>
      </c>
      <c r="C1127" s="704" t="s">
        <v>582</v>
      </c>
      <c r="D1127" s="704" t="s">
        <v>541</v>
      </c>
      <c r="E1127" s="704">
        <v>1</v>
      </c>
      <c r="F1127" s="704">
        <v>100</v>
      </c>
      <c r="H1127">
        <f t="shared" si="96"/>
        <v>3377</v>
      </c>
      <c r="I1127" t="str">
        <f t="shared" si="97"/>
        <v>Rest of Vic.</v>
      </c>
    </row>
    <row r="1128" spans="1:9" x14ac:dyDescent="0.2">
      <c r="A1128" s="704">
        <v>3378</v>
      </c>
      <c r="B1128" s="704">
        <v>3378</v>
      </c>
      <c r="C1128" s="704" t="s">
        <v>582</v>
      </c>
      <c r="D1128" s="704" t="s">
        <v>541</v>
      </c>
      <c r="E1128" s="704">
        <v>1</v>
      </c>
      <c r="F1128" s="704">
        <v>100</v>
      </c>
      <c r="H1128">
        <f t="shared" si="96"/>
        <v>3378</v>
      </c>
      <c r="I1128" t="str">
        <f t="shared" si="97"/>
        <v>Rest of Vic.</v>
      </c>
    </row>
    <row r="1129" spans="1:9" x14ac:dyDescent="0.2">
      <c r="A1129" s="704">
        <v>3379</v>
      </c>
      <c r="B1129" s="704">
        <v>3379</v>
      </c>
      <c r="C1129" s="704" t="s">
        <v>582</v>
      </c>
      <c r="D1129" s="704" t="s">
        <v>541</v>
      </c>
      <c r="E1129" s="704">
        <v>1</v>
      </c>
      <c r="F1129" s="704">
        <v>100</v>
      </c>
      <c r="H1129">
        <f t="shared" si="96"/>
        <v>3379</v>
      </c>
      <c r="I1129" t="str">
        <f t="shared" si="97"/>
        <v>Rest of Vic.</v>
      </c>
    </row>
    <row r="1130" spans="1:9" x14ac:dyDescent="0.2">
      <c r="A1130" s="704">
        <v>3380</v>
      </c>
      <c r="B1130" s="704">
        <v>3380</v>
      </c>
      <c r="C1130" s="704" t="s">
        <v>582</v>
      </c>
      <c r="D1130" s="704" t="s">
        <v>541</v>
      </c>
      <c r="E1130" s="704">
        <v>1</v>
      </c>
      <c r="F1130" s="704">
        <v>100</v>
      </c>
      <c r="H1130">
        <f t="shared" si="96"/>
        <v>3380</v>
      </c>
      <c r="I1130" t="str">
        <f t="shared" si="97"/>
        <v>Rest of Vic.</v>
      </c>
    </row>
    <row r="1131" spans="1:9" x14ac:dyDescent="0.2">
      <c r="A1131" s="704">
        <v>3381</v>
      </c>
      <c r="B1131" s="704">
        <v>3381</v>
      </c>
      <c r="C1131" s="704" t="s">
        <v>582</v>
      </c>
      <c r="D1131" s="704" t="s">
        <v>541</v>
      </c>
      <c r="E1131" s="704">
        <v>1</v>
      </c>
      <c r="F1131" s="704">
        <v>100</v>
      </c>
      <c r="H1131">
        <f t="shared" si="96"/>
        <v>3381</v>
      </c>
      <c r="I1131" t="str">
        <f t="shared" si="97"/>
        <v>Rest of Vic.</v>
      </c>
    </row>
    <row r="1132" spans="1:9" x14ac:dyDescent="0.2">
      <c r="A1132" s="704">
        <v>3384</v>
      </c>
      <c r="B1132" s="704">
        <v>3384</v>
      </c>
      <c r="C1132" s="704" t="s">
        <v>582</v>
      </c>
      <c r="D1132" s="704" t="s">
        <v>541</v>
      </c>
      <c r="E1132" s="704">
        <v>1</v>
      </c>
      <c r="F1132" s="704">
        <v>100</v>
      </c>
      <c r="H1132">
        <f t="shared" si="96"/>
        <v>3384</v>
      </c>
      <c r="I1132" t="str">
        <f t="shared" si="97"/>
        <v>Rest of Vic.</v>
      </c>
    </row>
    <row r="1133" spans="1:9" x14ac:dyDescent="0.2">
      <c r="A1133" s="704">
        <v>3385</v>
      </c>
      <c r="B1133" s="704">
        <v>3385</v>
      </c>
      <c r="C1133" s="704" t="s">
        <v>582</v>
      </c>
      <c r="D1133" s="704" t="s">
        <v>541</v>
      </c>
      <c r="E1133" s="704">
        <v>1</v>
      </c>
      <c r="F1133" s="704">
        <v>100</v>
      </c>
      <c r="H1133">
        <f t="shared" si="96"/>
        <v>3385</v>
      </c>
      <c r="I1133" t="str">
        <f t="shared" si="97"/>
        <v>Rest of Vic.</v>
      </c>
    </row>
    <row r="1134" spans="1:9" x14ac:dyDescent="0.2">
      <c r="A1134" s="704">
        <v>3387</v>
      </c>
      <c r="B1134" s="704">
        <v>3387</v>
      </c>
      <c r="C1134" s="704" t="s">
        <v>582</v>
      </c>
      <c r="D1134" s="704" t="s">
        <v>541</v>
      </c>
      <c r="E1134" s="704">
        <v>1</v>
      </c>
      <c r="F1134" s="704">
        <v>100</v>
      </c>
      <c r="H1134">
        <f t="shared" si="96"/>
        <v>3387</v>
      </c>
      <c r="I1134" t="str">
        <f t="shared" si="97"/>
        <v>Rest of Vic.</v>
      </c>
    </row>
    <row r="1135" spans="1:9" x14ac:dyDescent="0.2">
      <c r="A1135" s="704">
        <v>3388</v>
      </c>
      <c r="B1135" s="704">
        <v>3388</v>
      </c>
      <c r="C1135" s="704" t="s">
        <v>582</v>
      </c>
      <c r="D1135" s="704" t="s">
        <v>541</v>
      </c>
      <c r="E1135" s="704">
        <v>1</v>
      </c>
      <c r="F1135" s="704">
        <v>100</v>
      </c>
      <c r="H1135">
        <f t="shared" si="96"/>
        <v>3388</v>
      </c>
      <c r="I1135" t="str">
        <f t="shared" si="97"/>
        <v>Rest of Vic.</v>
      </c>
    </row>
    <row r="1136" spans="1:9" x14ac:dyDescent="0.2">
      <c r="A1136" s="704">
        <v>3390</v>
      </c>
      <c r="B1136" s="704">
        <v>3390</v>
      </c>
      <c r="C1136" s="704" t="s">
        <v>582</v>
      </c>
      <c r="D1136" s="704" t="s">
        <v>541</v>
      </c>
      <c r="E1136" s="704">
        <v>1</v>
      </c>
      <c r="F1136" s="704">
        <v>100</v>
      </c>
      <c r="H1136">
        <f t="shared" si="96"/>
        <v>3390</v>
      </c>
      <c r="I1136" t="str">
        <f t="shared" si="97"/>
        <v>Rest of Vic.</v>
      </c>
    </row>
    <row r="1137" spans="1:9" x14ac:dyDescent="0.2">
      <c r="A1137" s="704">
        <v>3391</v>
      </c>
      <c r="B1137" s="704">
        <v>3391</v>
      </c>
      <c r="C1137" s="704" t="s">
        <v>582</v>
      </c>
      <c r="D1137" s="704" t="s">
        <v>541</v>
      </c>
      <c r="E1137" s="704">
        <v>1</v>
      </c>
      <c r="F1137" s="704">
        <v>100</v>
      </c>
      <c r="H1137">
        <f t="shared" si="96"/>
        <v>3391</v>
      </c>
      <c r="I1137" t="str">
        <f t="shared" si="97"/>
        <v>Rest of Vic.</v>
      </c>
    </row>
    <row r="1138" spans="1:9" x14ac:dyDescent="0.2">
      <c r="A1138" s="704">
        <v>3392</v>
      </c>
      <c r="B1138" s="704">
        <v>3392</v>
      </c>
      <c r="C1138" s="704" t="s">
        <v>582</v>
      </c>
      <c r="D1138" s="704" t="s">
        <v>541</v>
      </c>
      <c r="E1138" s="704">
        <v>1</v>
      </c>
      <c r="F1138" s="704">
        <v>100</v>
      </c>
      <c r="H1138">
        <f t="shared" si="96"/>
        <v>3392</v>
      </c>
      <c r="I1138" t="str">
        <f t="shared" si="97"/>
        <v>Rest of Vic.</v>
      </c>
    </row>
    <row r="1139" spans="1:9" x14ac:dyDescent="0.2">
      <c r="A1139" s="704">
        <v>3393</v>
      </c>
      <c r="B1139" s="704">
        <v>3393</v>
      </c>
      <c r="C1139" s="704" t="s">
        <v>582</v>
      </c>
      <c r="D1139" s="704" t="s">
        <v>541</v>
      </c>
      <c r="E1139" s="704">
        <v>1</v>
      </c>
      <c r="F1139" s="704">
        <v>100</v>
      </c>
      <c r="H1139">
        <f t="shared" si="96"/>
        <v>3393</v>
      </c>
      <c r="I1139" t="str">
        <f t="shared" si="97"/>
        <v>Rest of Vic.</v>
      </c>
    </row>
    <row r="1140" spans="1:9" x14ac:dyDescent="0.2">
      <c r="A1140" s="704">
        <v>3395</v>
      </c>
      <c r="B1140" s="704">
        <v>3395</v>
      </c>
      <c r="C1140" s="704" t="s">
        <v>582</v>
      </c>
      <c r="D1140" s="704" t="s">
        <v>541</v>
      </c>
      <c r="E1140" s="704">
        <v>1</v>
      </c>
      <c r="F1140" s="704">
        <v>100</v>
      </c>
      <c r="H1140">
        <f t="shared" si="96"/>
        <v>3395</v>
      </c>
      <c r="I1140" t="str">
        <f t="shared" si="97"/>
        <v>Rest of Vic.</v>
      </c>
    </row>
    <row r="1141" spans="1:9" x14ac:dyDescent="0.2">
      <c r="A1141" s="704">
        <v>3396</v>
      </c>
      <c r="B1141" s="704">
        <v>3396</v>
      </c>
      <c r="C1141" s="704" t="s">
        <v>582</v>
      </c>
      <c r="D1141" s="704" t="s">
        <v>541</v>
      </c>
      <c r="E1141" s="704">
        <v>1</v>
      </c>
      <c r="F1141" s="704">
        <v>100</v>
      </c>
      <c r="H1141">
        <f t="shared" si="96"/>
        <v>3396</v>
      </c>
      <c r="I1141" t="str">
        <f t="shared" si="97"/>
        <v>Rest of Vic.</v>
      </c>
    </row>
    <row r="1142" spans="1:9" x14ac:dyDescent="0.2">
      <c r="A1142" s="704">
        <v>3400</v>
      </c>
      <c r="B1142" s="704">
        <v>3400</v>
      </c>
      <c r="C1142" s="704" t="s">
        <v>582</v>
      </c>
      <c r="D1142" s="704" t="s">
        <v>541</v>
      </c>
      <c r="E1142" s="704">
        <v>1</v>
      </c>
      <c r="F1142" s="704">
        <v>100</v>
      </c>
      <c r="H1142">
        <f t="shared" si="96"/>
        <v>3400</v>
      </c>
      <c r="I1142" t="str">
        <f t="shared" si="97"/>
        <v>Rest of Vic.</v>
      </c>
    </row>
    <row r="1143" spans="1:9" x14ac:dyDescent="0.2">
      <c r="A1143" s="704">
        <v>3401</v>
      </c>
      <c r="B1143" s="704">
        <v>3401</v>
      </c>
      <c r="C1143" s="704" t="s">
        <v>582</v>
      </c>
      <c r="D1143" s="704" t="s">
        <v>541</v>
      </c>
      <c r="E1143" s="704">
        <v>1</v>
      </c>
      <c r="F1143" s="704">
        <v>100</v>
      </c>
      <c r="H1143">
        <f t="shared" si="96"/>
        <v>3401</v>
      </c>
      <c r="I1143" t="str">
        <f t="shared" si="97"/>
        <v>Rest of Vic.</v>
      </c>
    </row>
    <row r="1144" spans="1:9" x14ac:dyDescent="0.2">
      <c r="A1144" s="704">
        <v>3407</v>
      </c>
      <c r="B1144" s="704">
        <v>3407</v>
      </c>
      <c r="C1144" s="704" t="s">
        <v>582</v>
      </c>
      <c r="D1144" s="704" t="s">
        <v>541</v>
      </c>
      <c r="E1144" s="704">
        <v>1</v>
      </c>
      <c r="F1144" s="704">
        <v>100</v>
      </c>
      <c r="H1144">
        <f t="shared" si="96"/>
        <v>3407</v>
      </c>
      <c r="I1144" t="str">
        <f t="shared" si="97"/>
        <v>Rest of Vic.</v>
      </c>
    </row>
    <row r="1145" spans="1:9" x14ac:dyDescent="0.2">
      <c r="A1145" s="704">
        <v>3409</v>
      </c>
      <c r="B1145" s="704">
        <v>3409</v>
      </c>
      <c r="C1145" s="704" t="s">
        <v>582</v>
      </c>
      <c r="D1145" s="704" t="s">
        <v>541</v>
      </c>
      <c r="E1145" s="704">
        <v>1</v>
      </c>
      <c r="F1145" s="704">
        <v>100</v>
      </c>
      <c r="H1145">
        <f t="shared" ref="H1145:H1208" si="98">A1145*1</f>
        <v>3409</v>
      </c>
      <c r="I1145" t="str">
        <f t="shared" ref="I1145:I1208" si="99">D1145</f>
        <v>Rest of Vic.</v>
      </c>
    </row>
    <row r="1146" spans="1:9" x14ac:dyDescent="0.2">
      <c r="A1146" s="704">
        <v>3412</v>
      </c>
      <c r="B1146" s="704">
        <v>3412</v>
      </c>
      <c r="C1146" s="704" t="s">
        <v>582</v>
      </c>
      <c r="D1146" s="704" t="s">
        <v>541</v>
      </c>
      <c r="E1146" s="704">
        <v>1</v>
      </c>
      <c r="F1146" s="704">
        <v>100</v>
      </c>
      <c r="H1146">
        <f t="shared" si="98"/>
        <v>3412</v>
      </c>
      <c r="I1146" t="str">
        <f t="shared" si="99"/>
        <v>Rest of Vic.</v>
      </c>
    </row>
    <row r="1147" spans="1:9" x14ac:dyDescent="0.2">
      <c r="A1147" s="704">
        <v>3413</v>
      </c>
      <c r="B1147" s="704">
        <v>3413</v>
      </c>
      <c r="C1147" s="704" t="s">
        <v>582</v>
      </c>
      <c r="D1147" s="704" t="s">
        <v>541</v>
      </c>
      <c r="E1147" s="704">
        <v>1</v>
      </c>
      <c r="F1147" s="704">
        <v>100</v>
      </c>
      <c r="H1147">
        <f t="shared" si="98"/>
        <v>3413</v>
      </c>
      <c r="I1147" t="str">
        <f t="shared" si="99"/>
        <v>Rest of Vic.</v>
      </c>
    </row>
    <row r="1148" spans="1:9" x14ac:dyDescent="0.2">
      <c r="A1148" s="704">
        <v>3414</v>
      </c>
      <c r="B1148" s="704">
        <v>3414</v>
      </c>
      <c r="C1148" s="704" t="s">
        <v>582</v>
      </c>
      <c r="D1148" s="704" t="s">
        <v>541</v>
      </c>
      <c r="E1148" s="704">
        <v>1</v>
      </c>
      <c r="F1148" s="704">
        <v>100</v>
      </c>
      <c r="H1148">
        <f t="shared" si="98"/>
        <v>3414</v>
      </c>
      <c r="I1148" t="str">
        <f t="shared" si="99"/>
        <v>Rest of Vic.</v>
      </c>
    </row>
    <row r="1149" spans="1:9" x14ac:dyDescent="0.2">
      <c r="A1149" s="704">
        <v>3415</v>
      </c>
      <c r="B1149" s="704">
        <v>3415</v>
      </c>
      <c r="C1149" s="704" t="s">
        <v>582</v>
      </c>
      <c r="D1149" s="704" t="s">
        <v>541</v>
      </c>
      <c r="E1149" s="704">
        <v>1</v>
      </c>
      <c r="F1149" s="704">
        <v>100</v>
      </c>
      <c r="H1149">
        <f t="shared" si="98"/>
        <v>3415</v>
      </c>
      <c r="I1149" t="str">
        <f t="shared" si="99"/>
        <v>Rest of Vic.</v>
      </c>
    </row>
    <row r="1150" spans="1:9" x14ac:dyDescent="0.2">
      <c r="A1150" s="704">
        <v>3418</v>
      </c>
      <c r="B1150" s="704">
        <v>3418</v>
      </c>
      <c r="C1150" s="704" t="s">
        <v>582</v>
      </c>
      <c r="D1150" s="704" t="s">
        <v>541</v>
      </c>
      <c r="E1150" s="704">
        <v>1</v>
      </c>
      <c r="F1150" s="704">
        <v>100</v>
      </c>
      <c r="H1150">
        <f t="shared" si="98"/>
        <v>3418</v>
      </c>
      <c r="I1150" t="str">
        <f t="shared" si="99"/>
        <v>Rest of Vic.</v>
      </c>
    </row>
    <row r="1151" spans="1:9" x14ac:dyDescent="0.2">
      <c r="A1151" s="704">
        <v>3419</v>
      </c>
      <c r="B1151" s="704">
        <v>3419</v>
      </c>
      <c r="C1151" s="704" t="s">
        <v>582</v>
      </c>
      <c r="D1151" s="704" t="s">
        <v>541</v>
      </c>
      <c r="E1151" s="704">
        <v>1</v>
      </c>
      <c r="F1151" s="704">
        <v>100</v>
      </c>
      <c r="H1151">
        <f t="shared" si="98"/>
        <v>3419</v>
      </c>
      <c r="I1151" t="str">
        <f t="shared" si="99"/>
        <v>Rest of Vic.</v>
      </c>
    </row>
    <row r="1152" spans="1:9" x14ac:dyDescent="0.2">
      <c r="A1152" s="704">
        <v>3420</v>
      </c>
      <c r="B1152" s="704">
        <v>3420</v>
      </c>
      <c r="C1152" s="704" t="s">
        <v>582</v>
      </c>
      <c r="D1152" s="704" t="s">
        <v>541</v>
      </c>
      <c r="E1152" s="704">
        <v>1</v>
      </c>
      <c r="F1152" s="704">
        <v>100</v>
      </c>
      <c r="H1152">
        <f t="shared" si="98"/>
        <v>3420</v>
      </c>
      <c r="I1152" t="str">
        <f t="shared" si="99"/>
        <v>Rest of Vic.</v>
      </c>
    </row>
    <row r="1153" spans="1:9" x14ac:dyDescent="0.2">
      <c r="A1153" s="704">
        <v>3423</v>
      </c>
      <c r="B1153" s="704">
        <v>3423</v>
      </c>
      <c r="C1153" s="704" t="s">
        <v>582</v>
      </c>
      <c r="D1153" s="704" t="s">
        <v>541</v>
      </c>
      <c r="E1153" s="704">
        <v>1</v>
      </c>
      <c r="F1153" s="704">
        <v>100</v>
      </c>
      <c r="H1153">
        <f t="shared" si="98"/>
        <v>3423</v>
      </c>
      <c r="I1153" t="str">
        <f t="shared" si="99"/>
        <v>Rest of Vic.</v>
      </c>
    </row>
    <row r="1154" spans="1:9" x14ac:dyDescent="0.2">
      <c r="A1154" s="704">
        <v>3424</v>
      </c>
      <c r="B1154" s="704">
        <v>3424</v>
      </c>
      <c r="C1154" s="704" t="s">
        <v>582</v>
      </c>
      <c r="D1154" s="704" t="s">
        <v>541</v>
      </c>
      <c r="E1154" s="704">
        <v>1</v>
      </c>
      <c r="F1154" s="704">
        <v>100</v>
      </c>
      <c r="H1154">
        <f t="shared" si="98"/>
        <v>3424</v>
      </c>
      <c r="I1154" t="str">
        <f t="shared" si="99"/>
        <v>Rest of Vic.</v>
      </c>
    </row>
    <row r="1155" spans="1:9" x14ac:dyDescent="0.2">
      <c r="A1155" s="704">
        <v>3427</v>
      </c>
      <c r="B1155" s="704">
        <v>3427</v>
      </c>
      <c r="C1155" s="704" t="s">
        <v>583</v>
      </c>
      <c r="D1155" s="704" t="s">
        <v>544</v>
      </c>
      <c r="E1155" s="704">
        <v>1</v>
      </c>
      <c r="F1155" s="704">
        <v>100</v>
      </c>
      <c r="H1155">
        <f t="shared" si="98"/>
        <v>3427</v>
      </c>
      <c r="I1155" t="str">
        <f t="shared" si="99"/>
        <v>Greater Melbourne</v>
      </c>
    </row>
    <row r="1156" spans="1:9" x14ac:dyDescent="0.2">
      <c r="A1156" s="704">
        <v>3428</v>
      </c>
      <c r="B1156" s="704">
        <v>3428</v>
      </c>
      <c r="C1156" s="704" t="s">
        <v>583</v>
      </c>
      <c r="D1156" s="704" t="s">
        <v>544</v>
      </c>
      <c r="E1156" s="704">
        <v>1</v>
      </c>
      <c r="F1156" s="704">
        <v>100</v>
      </c>
      <c r="H1156">
        <f t="shared" si="98"/>
        <v>3428</v>
      </c>
      <c r="I1156" t="str">
        <f t="shared" si="99"/>
        <v>Greater Melbourne</v>
      </c>
    </row>
    <row r="1157" spans="1:9" x14ac:dyDescent="0.2">
      <c r="A1157" s="704">
        <v>3429</v>
      </c>
      <c r="B1157" s="704">
        <v>3429</v>
      </c>
      <c r="C1157" s="704" t="s">
        <v>583</v>
      </c>
      <c r="D1157" s="704" t="s">
        <v>544</v>
      </c>
      <c r="E1157" s="704">
        <v>1</v>
      </c>
      <c r="F1157" s="704">
        <v>100</v>
      </c>
      <c r="H1157">
        <f t="shared" si="98"/>
        <v>3429</v>
      </c>
      <c r="I1157" t="str">
        <f t="shared" si="99"/>
        <v>Greater Melbourne</v>
      </c>
    </row>
    <row r="1158" spans="1:9" x14ac:dyDescent="0.2">
      <c r="A1158" s="704">
        <v>3430</v>
      </c>
      <c r="B1158" s="704">
        <v>3430</v>
      </c>
      <c r="C1158" s="704" t="s">
        <v>583</v>
      </c>
      <c r="D1158" s="704" t="s">
        <v>544</v>
      </c>
      <c r="E1158" s="704">
        <v>1</v>
      </c>
      <c r="F1158" s="704">
        <v>100</v>
      </c>
      <c r="H1158">
        <f t="shared" si="98"/>
        <v>3430</v>
      </c>
      <c r="I1158" t="str">
        <f t="shared" si="99"/>
        <v>Greater Melbourne</v>
      </c>
    </row>
    <row r="1159" spans="1:9" x14ac:dyDescent="0.2">
      <c r="A1159" s="704">
        <v>3431</v>
      </c>
      <c r="B1159" s="704">
        <v>3431</v>
      </c>
      <c r="C1159" s="704" t="s">
        <v>583</v>
      </c>
      <c r="D1159" s="704" t="s">
        <v>544</v>
      </c>
      <c r="E1159" s="704">
        <v>1</v>
      </c>
      <c r="F1159" s="704">
        <v>100</v>
      </c>
      <c r="H1159">
        <f t="shared" si="98"/>
        <v>3431</v>
      </c>
      <c r="I1159" t="str">
        <f t="shared" si="99"/>
        <v>Greater Melbourne</v>
      </c>
    </row>
    <row r="1160" spans="1:9" x14ac:dyDescent="0.2">
      <c r="A1160" s="704">
        <v>3432</v>
      </c>
      <c r="B1160" s="704">
        <v>3432</v>
      </c>
      <c r="C1160" s="704" t="s">
        <v>583</v>
      </c>
      <c r="D1160" s="704" t="s">
        <v>544</v>
      </c>
      <c r="E1160" s="704">
        <v>1</v>
      </c>
      <c r="F1160" s="704">
        <v>100</v>
      </c>
      <c r="H1160">
        <f t="shared" si="98"/>
        <v>3432</v>
      </c>
      <c r="I1160" t="str">
        <f t="shared" si="99"/>
        <v>Greater Melbourne</v>
      </c>
    </row>
    <row r="1161" spans="1:9" x14ac:dyDescent="0.2">
      <c r="A1161" s="704">
        <v>3433</v>
      </c>
      <c r="B1161" s="704">
        <v>3433</v>
      </c>
      <c r="C1161" s="704" t="s">
        <v>583</v>
      </c>
      <c r="D1161" s="704" t="s">
        <v>544</v>
      </c>
      <c r="E1161" s="704">
        <v>1</v>
      </c>
      <c r="F1161" s="704">
        <v>100</v>
      </c>
      <c r="H1161">
        <f t="shared" si="98"/>
        <v>3433</v>
      </c>
      <c r="I1161" t="str">
        <f t="shared" si="99"/>
        <v>Greater Melbourne</v>
      </c>
    </row>
    <row r="1162" spans="1:9" x14ac:dyDescent="0.2">
      <c r="A1162" s="704">
        <v>3434</v>
      </c>
      <c r="B1162" s="704">
        <v>3434</v>
      </c>
      <c r="C1162" s="704" t="s">
        <v>583</v>
      </c>
      <c r="D1162" s="704" t="s">
        <v>544</v>
      </c>
      <c r="E1162" s="704">
        <v>1</v>
      </c>
      <c r="F1162" s="704">
        <v>100</v>
      </c>
      <c r="H1162">
        <f t="shared" si="98"/>
        <v>3434</v>
      </c>
      <c r="I1162" t="str">
        <f t="shared" si="99"/>
        <v>Greater Melbourne</v>
      </c>
    </row>
    <row r="1163" spans="1:9" x14ac:dyDescent="0.2">
      <c r="A1163" s="704">
        <v>3435</v>
      </c>
      <c r="B1163" s="704">
        <v>3435</v>
      </c>
      <c r="C1163" s="704" t="s">
        <v>583</v>
      </c>
      <c r="D1163" s="704" t="s">
        <v>544</v>
      </c>
      <c r="E1163" s="704">
        <v>0.97695100000000001</v>
      </c>
      <c r="F1163" s="704">
        <v>97.695099999999996</v>
      </c>
      <c r="H1163">
        <f t="shared" si="98"/>
        <v>3435</v>
      </c>
      <c r="I1163" t="str">
        <f t="shared" si="99"/>
        <v>Greater Melbourne</v>
      </c>
    </row>
    <row r="1164" spans="1:9" x14ac:dyDescent="0.2">
      <c r="A1164" s="704">
        <v>3435</v>
      </c>
      <c r="B1164" s="704">
        <v>3435</v>
      </c>
      <c r="C1164" s="704" t="s">
        <v>582</v>
      </c>
      <c r="D1164" s="704" t="s">
        <v>541</v>
      </c>
      <c r="E1164" s="704">
        <v>2.3049500000000001E-2</v>
      </c>
      <c r="F1164" s="704">
        <v>2.3049499999999998</v>
      </c>
      <c r="H1164">
        <f t="shared" si="98"/>
        <v>3435</v>
      </c>
      <c r="I1164" t="str">
        <f t="shared" si="99"/>
        <v>Rest of Vic.</v>
      </c>
    </row>
    <row r="1165" spans="1:9" x14ac:dyDescent="0.2">
      <c r="A1165" s="704">
        <v>3437</v>
      </c>
      <c r="B1165" s="704">
        <v>3437</v>
      </c>
      <c r="C1165" s="704" t="s">
        <v>583</v>
      </c>
      <c r="D1165" s="704" t="s">
        <v>544</v>
      </c>
      <c r="E1165" s="704">
        <v>0.99976500000000001</v>
      </c>
      <c r="F1165" s="704">
        <v>99.976500000000001</v>
      </c>
      <c r="H1165">
        <f t="shared" si="98"/>
        <v>3437</v>
      </c>
      <c r="I1165" t="str">
        <f t="shared" si="99"/>
        <v>Greater Melbourne</v>
      </c>
    </row>
    <row r="1166" spans="1:9" x14ac:dyDescent="0.2">
      <c r="A1166" s="704">
        <v>3437</v>
      </c>
      <c r="B1166" s="704">
        <v>3437</v>
      </c>
      <c r="C1166" s="704" t="s">
        <v>582</v>
      </c>
      <c r="D1166" s="704" t="s">
        <v>541</v>
      </c>
      <c r="E1166" s="704">
        <v>2.3499999999999999E-4</v>
      </c>
      <c r="F1166" s="704">
        <v>2.3496099999999999E-2</v>
      </c>
      <c r="H1166">
        <f t="shared" si="98"/>
        <v>3437</v>
      </c>
      <c r="I1166" t="str">
        <f t="shared" si="99"/>
        <v>Rest of Vic.</v>
      </c>
    </row>
    <row r="1167" spans="1:9" x14ac:dyDescent="0.2">
      <c r="A1167" s="704">
        <v>3438</v>
      </c>
      <c r="B1167" s="704">
        <v>3438</v>
      </c>
      <c r="C1167" s="704" t="s">
        <v>583</v>
      </c>
      <c r="D1167" s="704" t="s">
        <v>544</v>
      </c>
      <c r="E1167" s="704">
        <v>1</v>
      </c>
      <c r="F1167" s="704">
        <v>100</v>
      </c>
      <c r="H1167">
        <f t="shared" si="98"/>
        <v>3438</v>
      </c>
      <c r="I1167" t="str">
        <f t="shared" si="99"/>
        <v>Greater Melbourne</v>
      </c>
    </row>
    <row r="1168" spans="1:9" x14ac:dyDescent="0.2">
      <c r="A1168" s="704">
        <v>3440</v>
      </c>
      <c r="B1168" s="704">
        <v>3440</v>
      </c>
      <c r="C1168" s="704" t="s">
        <v>583</v>
      </c>
      <c r="D1168" s="704" t="s">
        <v>544</v>
      </c>
      <c r="E1168" s="704">
        <v>0.99888699999999997</v>
      </c>
      <c r="F1168" s="704">
        <v>99.8887</v>
      </c>
      <c r="H1168">
        <f t="shared" si="98"/>
        <v>3440</v>
      </c>
      <c r="I1168" t="str">
        <f t="shared" si="99"/>
        <v>Greater Melbourne</v>
      </c>
    </row>
    <row r="1169" spans="1:9" x14ac:dyDescent="0.2">
      <c r="A1169" s="704">
        <v>3440</v>
      </c>
      <c r="B1169" s="704">
        <v>3440</v>
      </c>
      <c r="C1169" s="704" t="s">
        <v>582</v>
      </c>
      <c r="D1169" s="704" t="s">
        <v>541</v>
      </c>
      <c r="E1169" s="704">
        <v>1.1127000000000001E-3</v>
      </c>
      <c r="F1169" s="704">
        <v>0.111267</v>
      </c>
      <c r="H1169">
        <f t="shared" si="98"/>
        <v>3440</v>
      </c>
      <c r="I1169" t="str">
        <f t="shared" si="99"/>
        <v>Rest of Vic.</v>
      </c>
    </row>
    <row r="1170" spans="1:9" x14ac:dyDescent="0.2">
      <c r="A1170" s="704">
        <v>3441</v>
      </c>
      <c r="B1170" s="704">
        <v>3441</v>
      </c>
      <c r="C1170" s="704" t="s">
        <v>583</v>
      </c>
      <c r="D1170" s="704" t="s">
        <v>544</v>
      </c>
      <c r="E1170" s="704">
        <v>1</v>
      </c>
      <c r="F1170" s="704">
        <v>100</v>
      </c>
      <c r="H1170">
        <f t="shared" si="98"/>
        <v>3441</v>
      </c>
      <c r="I1170" t="str">
        <f t="shared" si="99"/>
        <v>Greater Melbourne</v>
      </c>
    </row>
    <row r="1171" spans="1:9" x14ac:dyDescent="0.2">
      <c r="A1171" s="704">
        <v>3442</v>
      </c>
      <c r="B1171" s="704">
        <v>3442</v>
      </c>
      <c r="C1171" s="704" t="s">
        <v>583</v>
      </c>
      <c r="D1171" s="704" t="s">
        <v>544</v>
      </c>
      <c r="E1171" s="704">
        <v>3.9106299999999997E-2</v>
      </c>
      <c r="F1171" s="704">
        <v>3.9106299999999998</v>
      </c>
      <c r="H1171">
        <f t="shared" si="98"/>
        <v>3442</v>
      </c>
      <c r="I1171" t="str">
        <f t="shared" si="99"/>
        <v>Greater Melbourne</v>
      </c>
    </row>
    <row r="1172" spans="1:9" x14ac:dyDescent="0.2">
      <c r="A1172" s="704">
        <v>3442</v>
      </c>
      <c r="B1172" s="704">
        <v>3442</v>
      </c>
      <c r="C1172" s="704" t="s">
        <v>582</v>
      </c>
      <c r="D1172" s="704" t="s">
        <v>541</v>
      </c>
      <c r="E1172" s="704">
        <v>0.96089400000000003</v>
      </c>
      <c r="F1172" s="704">
        <v>96.089399999999998</v>
      </c>
      <c r="H1172">
        <f t="shared" si="98"/>
        <v>3442</v>
      </c>
      <c r="I1172" t="str">
        <f t="shared" si="99"/>
        <v>Rest of Vic.</v>
      </c>
    </row>
    <row r="1173" spans="1:9" x14ac:dyDescent="0.2">
      <c r="A1173" s="704">
        <v>3444</v>
      </c>
      <c r="B1173" s="704">
        <v>3444</v>
      </c>
      <c r="C1173" s="704" t="s">
        <v>582</v>
      </c>
      <c r="D1173" s="704" t="s">
        <v>541</v>
      </c>
      <c r="E1173" s="704">
        <v>1</v>
      </c>
      <c r="F1173" s="704">
        <v>100</v>
      </c>
      <c r="H1173">
        <f t="shared" si="98"/>
        <v>3444</v>
      </c>
      <c r="I1173" t="str">
        <f t="shared" si="99"/>
        <v>Rest of Vic.</v>
      </c>
    </row>
    <row r="1174" spans="1:9" x14ac:dyDescent="0.2">
      <c r="A1174" s="704">
        <v>3446</v>
      </c>
      <c r="B1174" s="704">
        <v>3446</v>
      </c>
      <c r="C1174" s="704" t="s">
        <v>582</v>
      </c>
      <c r="D1174" s="704" t="s">
        <v>541</v>
      </c>
      <c r="E1174" s="704">
        <v>1</v>
      </c>
      <c r="F1174" s="704">
        <v>100</v>
      </c>
      <c r="H1174">
        <f t="shared" si="98"/>
        <v>3446</v>
      </c>
      <c r="I1174" t="str">
        <f t="shared" si="99"/>
        <v>Rest of Vic.</v>
      </c>
    </row>
    <row r="1175" spans="1:9" x14ac:dyDescent="0.2">
      <c r="A1175" s="704">
        <v>3447</v>
      </c>
      <c r="B1175" s="704">
        <v>3447</v>
      </c>
      <c r="C1175" s="704" t="s">
        <v>582</v>
      </c>
      <c r="D1175" s="704" t="s">
        <v>541</v>
      </c>
      <c r="E1175" s="704">
        <v>1</v>
      </c>
      <c r="F1175" s="704">
        <v>100</v>
      </c>
      <c r="H1175">
        <f t="shared" si="98"/>
        <v>3447</v>
      </c>
      <c r="I1175" t="str">
        <f t="shared" si="99"/>
        <v>Rest of Vic.</v>
      </c>
    </row>
    <row r="1176" spans="1:9" x14ac:dyDescent="0.2">
      <c r="A1176" s="704">
        <v>3448</v>
      </c>
      <c r="B1176" s="704">
        <v>3448</v>
      </c>
      <c r="C1176" s="704" t="s">
        <v>582</v>
      </c>
      <c r="D1176" s="704" t="s">
        <v>541</v>
      </c>
      <c r="E1176" s="704">
        <v>1</v>
      </c>
      <c r="F1176" s="704">
        <v>100</v>
      </c>
      <c r="H1176">
        <f t="shared" si="98"/>
        <v>3448</v>
      </c>
      <c r="I1176" t="str">
        <f t="shared" si="99"/>
        <v>Rest of Vic.</v>
      </c>
    </row>
    <row r="1177" spans="1:9" x14ac:dyDescent="0.2">
      <c r="A1177" s="704">
        <v>3450</v>
      </c>
      <c r="B1177" s="704">
        <v>3450</v>
      </c>
      <c r="C1177" s="704" t="s">
        <v>582</v>
      </c>
      <c r="D1177" s="704" t="s">
        <v>541</v>
      </c>
      <c r="E1177" s="704">
        <v>1</v>
      </c>
      <c r="F1177" s="704">
        <v>100</v>
      </c>
      <c r="H1177">
        <f t="shared" si="98"/>
        <v>3450</v>
      </c>
      <c r="I1177" t="str">
        <f t="shared" si="99"/>
        <v>Rest of Vic.</v>
      </c>
    </row>
    <row r="1178" spans="1:9" x14ac:dyDescent="0.2">
      <c r="A1178" s="704">
        <v>3451</v>
      </c>
      <c r="B1178" s="704">
        <v>3451</v>
      </c>
      <c r="C1178" s="704" t="s">
        <v>582</v>
      </c>
      <c r="D1178" s="704" t="s">
        <v>541</v>
      </c>
      <c r="E1178" s="704">
        <v>1</v>
      </c>
      <c r="F1178" s="704">
        <v>100</v>
      </c>
      <c r="H1178">
        <f t="shared" si="98"/>
        <v>3451</v>
      </c>
      <c r="I1178" t="str">
        <f t="shared" si="99"/>
        <v>Rest of Vic.</v>
      </c>
    </row>
    <row r="1179" spans="1:9" x14ac:dyDescent="0.2">
      <c r="A1179" s="704">
        <v>3453</v>
      </c>
      <c r="B1179" s="704">
        <v>3453</v>
      </c>
      <c r="C1179" s="704" t="s">
        <v>582</v>
      </c>
      <c r="D1179" s="704" t="s">
        <v>541</v>
      </c>
      <c r="E1179" s="704">
        <v>1</v>
      </c>
      <c r="F1179" s="704">
        <v>100</v>
      </c>
      <c r="H1179">
        <f t="shared" si="98"/>
        <v>3453</v>
      </c>
      <c r="I1179" t="str">
        <f t="shared" si="99"/>
        <v>Rest of Vic.</v>
      </c>
    </row>
    <row r="1180" spans="1:9" x14ac:dyDescent="0.2">
      <c r="A1180" s="704">
        <v>3458</v>
      </c>
      <c r="B1180" s="704">
        <v>3458</v>
      </c>
      <c r="C1180" s="704" t="s">
        <v>582</v>
      </c>
      <c r="D1180" s="704" t="s">
        <v>541</v>
      </c>
      <c r="E1180" s="704">
        <v>1</v>
      </c>
      <c r="F1180" s="704">
        <v>100</v>
      </c>
      <c r="H1180">
        <f t="shared" si="98"/>
        <v>3458</v>
      </c>
      <c r="I1180" t="str">
        <f t="shared" si="99"/>
        <v>Rest of Vic.</v>
      </c>
    </row>
    <row r="1181" spans="1:9" x14ac:dyDescent="0.2">
      <c r="A1181" s="704">
        <v>3460</v>
      </c>
      <c r="B1181" s="704">
        <v>3460</v>
      </c>
      <c r="C1181" s="704" t="s">
        <v>582</v>
      </c>
      <c r="D1181" s="704" t="s">
        <v>541</v>
      </c>
      <c r="E1181" s="704">
        <v>1</v>
      </c>
      <c r="F1181" s="704">
        <v>100</v>
      </c>
      <c r="H1181">
        <f t="shared" si="98"/>
        <v>3460</v>
      </c>
      <c r="I1181" t="str">
        <f t="shared" si="99"/>
        <v>Rest of Vic.</v>
      </c>
    </row>
    <row r="1182" spans="1:9" x14ac:dyDescent="0.2">
      <c r="A1182" s="704">
        <v>3461</v>
      </c>
      <c r="B1182" s="704">
        <v>3461</v>
      </c>
      <c r="C1182" s="704" t="s">
        <v>582</v>
      </c>
      <c r="D1182" s="704" t="s">
        <v>541</v>
      </c>
      <c r="E1182" s="704">
        <v>1</v>
      </c>
      <c r="F1182" s="704">
        <v>100</v>
      </c>
      <c r="H1182">
        <f t="shared" si="98"/>
        <v>3461</v>
      </c>
      <c r="I1182" t="str">
        <f t="shared" si="99"/>
        <v>Rest of Vic.</v>
      </c>
    </row>
    <row r="1183" spans="1:9" x14ac:dyDescent="0.2">
      <c r="A1183" s="704">
        <v>3462</v>
      </c>
      <c r="B1183" s="704">
        <v>3462</v>
      </c>
      <c r="C1183" s="704" t="s">
        <v>582</v>
      </c>
      <c r="D1183" s="704" t="s">
        <v>541</v>
      </c>
      <c r="E1183" s="704">
        <v>1</v>
      </c>
      <c r="F1183" s="704">
        <v>100</v>
      </c>
      <c r="H1183">
        <f t="shared" si="98"/>
        <v>3462</v>
      </c>
      <c r="I1183" t="str">
        <f t="shared" si="99"/>
        <v>Rest of Vic.</v>
      </c>
    </row>
    <row r="1184" spans="1:9" x14ac:dyDescent="0.2">
      <c r="A1184" s="704">
        <v>3463</v>
      </c>
      <c r="B1184" s="704">
        <v>3463</v>
      </c>
      <c r="C1184" s="704" t="s">
        <v>582</v>
      </c>
      <c r="D1184" s="704" t="s">
        <v>541</v>
      </c>
      <c r="E1184" s="704">
        <v>1</v>
      </c>
      <c r="F1184" s="704">
        <v>100</v>
      </c>
      <c r="H1184">
        <f t="shared" si="98"/>
        <v>3463</v>
      </c>
      <c r="I1184" t="str">
        <f t="shared" si="99"/>
        <v>Rest of Vic.</v>
      </c>
    </row>
    <row r="1185" spans="1:9" x14ac:dyDescent="0.2">
      <c r="A1185" s="704">
        <v>3464</v>
      </c>
      <c r="B1185" s="704">
        <v>3464</v>
      </c>
      <c r="C1185" s="704" t="s">
        <v>582</v>
      </c>
      <c r="D1185" s="704" t="s">
        <v>541</v>
      </c>
      <c r="E1185" s="704">
        <v>1</v>
      </c>
      <c r="F1185" s="704">
        <v>100</v>
      </c>
      <c r="H1185">
        <f t="shared" si="98"/>
        <v>3464</v>
      </c>
      <c r="I1185" t="str">
        <f t="shared" si="99"/>
        <v>Rest of Vic.</v>
      </c>
    </row>
    <row r="1186" spans="1:9" x14ac:dyDescent="0.2">
      <c r="A1186" s="704">
        <v>3465</v>
      </c>
      <c r="B1186" s="704">
        <v>3465</v>
      </c>
      <c r="C1186" s="704" t="s">
        <v>582</v>
      </c>
      <c r="D1186" s="704" t="s">
        <v>541</v>
      </c>
      <c r="E1186" s="704">
        <v>1</v>
      </c>
      <c r="F1186" s="704">
        <v>100</v>
      </c>
      <c r="H1186">
        <f t="shared" si="98"/>
        <v>3465</v>
      </c>
      <c r="I1186" t="str">
        <f t="shared" si="99"/>
        <v>Rest of Vic.</v>
      </c>
    </row>
    <row r="1187" spans="1:9" x14ac:dyDescent="0.2">
      <c r="A1187" s="704">
        <v>3467</v>
      </c>
      <c r="B1187" s="704">
        <v>3467</v>
      </c>
      <c r="C1187" s="704" t="s">
        <v>582</v>
      </c>
      <c r="D1187" s="704" t="s">
        <v>541</v>
      </c>
      <c r="E1187" s="704">
        <v>1</v>
      </c>
      <c r="F1187" s="704">
        <v>100</v>
      </c>
      <c r="H1187">
        <f t="shared" si="98"/>
        <v>3467</v>
      </c>
      <c r="I1187" t="str">
        <f t="shared" si="99"/>
        <v>Rest of Vic.</v>
      </c>
    </row>
    <row r="1188" spans="1:9" x14ac:dyDescent="0.2">
      <c r="A1188" s="704">
        <v>3468</v>
      </c>
      <c r="B1188" s="704">
        <v>3468</v>
      </c>
      <c r="C1188" s="704" t="s">
        <v>582</v>
      </c>
      <c r="D1188" s="704" t="s">
        <v>541</v>
      </c>
      <c r="E1188" s="704">
        <v>1</v>
      </c>
      <c r="F1188" s="704">
        <v>100</v>
      </c>
      <c r="H1188">
        <f t="shared" si="98"/>
        <v>3468</v>
      </c>
      <c r="I1188" t="str">
        <f t="shared" si="99"/>
        <v>Rest of Vic.</v>
      </c>
    </row>
    <row r="1189" spans="1:9" x14ac:dyDescent="0.2">
      <c r="A1189" s="704">
        <v>3469</v>
      </c>
      <c r="B1189" s="704">
        <v>3469</v>
      </c>
      <c r="C1189" s="704" t="s">
        <v>582</v>
      </c>
      <c r="D1189" s="704" t="s">
        <v>541</v>
      </c>
      <c r="E1189" s="704">
        <v>1</v>
      </c>
      <c r="F1189" s="704">
        <v>100</v>
      </c>
      <c r="H1189">
        <f t="shared" si="98"/>
        <v>3469</v>
      </c>
      <c r="I1189" t="str">
        <f t="shared" si="99"/>
        <v>Rest of Vic.</v>
      </c>
    </row>
    <row r="1190" spans="1:9" x14ac:dyDescent="0.2">
      <c r="A1190" s="704">
        <v>3472</v>
      </c>
      <c r="B1190" s="704">
        <v>3472</v>
      </c>
      <c r="C1190" s="704" t="s">
        <v>582</v>
      </c>
      <c r="D1190" s="704" t="s">
        <v>541</v>
      </c>
      <c r="E1190" s="704">
        <v>1</v>
      </c>
      <c r="F1190" s="704">
        <v>100</v>
      </c>
      <c r="H1190">
        <f t="shared" si="98"/>
        <v>3472</v>
      </c>
      <c r="I1190" t="str">
        <f t="shared" si="99"/>
        <v>Rest of Vic.</v>
      </c>
    </row>
    <row r="1191" spans="1:9" x14ac:dyDescent="0.2">
      <c r="A1191" s="704">
        <v>3475</v>
      </c>
      <c r="B1191" s="704">
        <v>3475</v>
      </c>
      <c r="C1191" s="704" t="s">
        <v>582</v>
      </c>
      <c r="D1191" s="704" t="s">
        <v>541</v>
      </c>
      <c r="E1191" s="704">
        <v>1</v>
      </c>
      <c r="F1191" s="704">
        <v>100</v>
      </c>
      <c r="H1191">
        <f t="shared" si="98"/>
        <v>3475</v>
      </c>
      <c r="I1191" t="str">
        <f t="shared" si="99"/>
        <v>Rest of Vic.</v>
      </c>
    </row>
    <row r="1192" spans="1:9" x14ac:dyDescent="0.2">
      <c r="A1192" s="704">
        <v>3477</v>
      </c>
      <c r="B1192" s="704">
        <v>3477</v>
      </c>
      <c r="C1192" s="704" t="s">
        <v>582</v>
      </c>
      <c r="D1192" s="704" t="s">
        <v>541</v>
      </c>
      <c r="E1192" s="704">
        <v>1</v>
      </c>
      <c r="F1192" s="704">
        <v>100</v>
      </c>
      <c r="H1192">
        <f t="shared" si="98"/>
        <v>3477</v>
      </c>
      <c r="I1192" t="str">
        <f t="shared" si="99"/>
        <v>Rest of Vic.</v>
      </c>
    </row>
    <row r="1193" spans="1:9" x14ac:dyDescent="0.2">
      <c r="A1193" s="704">
        <v>3478</v>
      </c>
      <c r="B1193" s="704">
        <v>3478</v>
      </c>
      <c r="C1193" s="704" t="s">
        <v>582</v>
      </c>
      <c r="D1193" s="704" t="s">
        <v>541</v>
      </c>
      <c r="E1193" s="704">
        <v>1</v>
      </c>
      <c r="F1193" s="704">
        <v>100</v>
      </c>
      <c r="H1193">
        <f t="shared" si="98"/>
        <v>3478</v>
      </c>
      <c r="I1193" t="str">
        <f t="shared" si="99"/>
        <v>Rest of Vic.</v>
      </c>
    </row>
    <row r="1194" spans="1:9" x14ac:dyDescent="0.2">
      <c r="A1194" s="704">
        <v>3480</v>
      </c>
      <c r="B1194" s="704">
        <v>3480</v>
      </c>
      <c r="C1194" s="704" t="s">
        <v>582</v>
      </c>
      <c r="D1194" s="704" t="s">
        <v>541</v>
      </c>
      <c r="E1194" s="704">
        <v>1</v>
      </c>
      <c r="F1194" s="704">
        <v>100</v>
      </c>
      <c r="H1194">
        <f t="shared" si="98"/>
        <v>3480</v>
      </c>
      <c r="I1194" t="str">
        <f t="shared" si="99"/>
        <v>Rest of Vic.</v>
      </c>
    </row>
    <row r="1195" spans="1:9" x14ac:dyDescent="0.2">
      <c r="A1195" s="704">
        <v>3482</v>
      </c>
      <c r="B1195" s="704">
        <v>3482</v>
      </c>
      <c r="C1195" s="704" t="s">
        <v>582</v>
      </c>
      <c r="D1195" s="704" t="s">
        <v>541</v>
      </c>
      <c r="E1195" s="704">
        <v>1</v>
      </c>
      <c r="F1195" s="704">
        <v>100</v>
      </c>
      <c r="H1195">
        <f t="shared" si="98"/>
        <v>3482</v>
      </c>
      <c r="I1195" t="str">
        <f t="shared" si="99"/>
        <v>Rest of Vic.</v>
      </c>
    </row>
    <row r="1196" spans="1:9" x14ac:dyDescent="0.2">
      <c r="A1196" s="704">
        <v>3483</v>
      </c>
      <c r="B1196" s="704">
        <v>3483</v>
      </c>
      <c r="C1196" s="704" t="s">
        <v>582</v>
      </c>
      <c r="D1196" s="704" t="s">
        <v>541</v>
      </c>
      <c r="E1196" s="704">
        <v>1</v>
      </c>
      <c r="F1196" s="704">
        <v>100</v>
      </c>
      <c r="H1196">
        <f t="shared" si="98"/>
        <v>3483</v>
      </c>
      <c r="I1196" t="str">
        <f t="shared" si="99"/>
        <v>Rest of Vic.</v>
      </c>
    </row>
    <row r="1197" spans="1:9" x14ac:dyDescent="0.2">
      <c r="A1197" s="704">
        <v>3485</v>
      </c>
      <c r="B1197" s="704">
        <v>3485</v>
      </c>
      <c r="C1197" s="704" t="s">
        <v>582</v>
      </c>
      <c r="D1197" s="704" t="s">
        <v>541</v>
      </c>
      <c r="E1197" s="704">
        <v>1</v>
      </c>
      <c r="F1197" s="704">
        <v>100</v>
      </c>
      <c r="H1197">
        <f t="shared" si="98"/>
        <v>3485</v>
      </c>
      <c r="I1197" t="str">
        <f t="shared" si="99"/>
        <v>Rest of Vic.</v>
      </c>
    </row>
    <row r="1198" spans="1:9" x14ac:dyDescent="0.2">
      <c r="A1198" s="704">
        <v>3487</v>
      </c>
      <c r="B1198" s="704">
        <v>3487</v>
      </c>
      <c r="C1198" s="704" t="s">
        <v>582</v>
      </c>
      <c r="D1198" s="704" t="s">
        <v>541</v>
      </c>
      <c r="E1198" s="704">
        <v>1</v>
      </c>
      <c r="F1198" s="704">
        <v>100</v>
      </c>
      <c r="H1198">
        <f t="shared" si="98"/>
        <v>3487</v>
      </c>
      <c r="I1198" t="str">
        <f t="shared" si="99"/>
        <v>Rest of Vic.</v>
      </c>
    </row>
    <row r="1199" spans="1:9" x14ac:dyDescent="0.2">
      <c r="A1199" s="704">
        <v>3488</v>
      </c>
      <c r="B1199" s="704">
        <v>3488</v>
      </c>
      <c r="C1199" s="704" t="s">
        <v>582</v>
      </c>
      <c r="D1199" s="704" t="s">
        <v>541</v>
      </c>
      <c r="E1199" s="704">
        <v>1</v>
      </c>
      <c r="F1199" s="704">
        <v>100</v>
      </c>
      <c r="H1199">
        <f t="shared" si="98"/>
        <v>3488</v>
      </c>
      <c r="I1199" t="str">
        <f t="shared" si="99"/>
        <v>Rest of Vic.</v>
      </c>
    </row>
    <row r="1200" spans="1:9" x14ac:dyDescent="0.2">
      <c r="A1200" s="704">
        <v>3489</v>
      </c>
      <c r="B1200" s="704">
        <v>3489</v>
      </c>
      <c r="C1200" s="704" t="s">
        <v>582</v>
      </c>
      <c r="D1200" s="704" t="s">
        <v>541</v>
      </c>
      <c r="E1200" s="704">
        <v>1</v>
      </c>
      <c r="F1200" s="704">
        <v>100</v>
      </c>
      <c r="H1200">
        <f t="shared" si="98"/>
        <v>3489</v>
      </c>
      <c r="I1200" t="str">
        <f t="shared" si="99"/>
        <v>Rest of Vic.</v>
      </c>
    </row>
    <row r="1201" spans="1:9" x14ac:dyDescent="0.2">
      <c r="A1201" s="704">
        <v>3490</v>
      </c>
      <c r="B1201" s="704">
        <v>3490</v>
      </c>
      <c r="C1201" s="704" t="s">
        <v>578</v>
      </c>
      <c r="D1201" s="704" t="s">
        <v>530</v>
      </c>
      <c r="E1201" s="704">
        <v>1.34E-4</v>
      </c>
      <c r="F1201" s="704">
        <v>1.33954E-2</v>
      </c>
      <c r="H1201">
        <f t="shared" si="98"/>
        <v>3490</v>
      </c>
      <c r="I1201" t="str">
        <f t="shared" si="99"/>
        <v>Rest of NSW</v>
      </c>
    </row>
    <row r="1202" spans="1:9" x14ac:dyDescent="0.2">
      <c r="A1202" s="704">
        <v>3490</v>
      </c>
      <c r="B1202" s="704">
        <v>3490</v>
      </c>
      <c r="C1202" s="704" t="s">
        <v>582</v>
      </c>
      <c r="D1202" s="704" t="s">
        <v>541</v>
      </c>
      <c r="E1202" s="704">
        <v>0.99986600000000003</v>
      </c>
      <c r="F1202" s="704">
        <v>99.986599999999996</v>
      </c>
      <c r="H1202">
        <f t="shared" si="98"/>
        <v>3490</v>
      </c>
      <c r="I1202" t="str">
        <f t="shared" si="99"/>
        <v>Rest of Vic.</v>
      </c>
    </row>
    <row r="1203" spans="1:9" x14ac:dyDescent="0.2">
      <c r="A1203" s="704">
        <v>3491</v>
      </c>
      <c r="B1203" s="704">
        <v>3491</v>
      </c>
      <c r="C1203" s="704" t="s">
        <v>582</v>
      </c>
      <c r="D1203" s="704" t="s">
        <v>541</v>
      </c>
      <c r="E1203" s="704">
        <v>1</v>
      </c>
      <c r="F1203" s="704">
        <v>100</v>
      </c>
      <c r="H1203">
        <f t="shared" si="98"/>
        <v>3491</v>
      </c>
      <c r="I1203" t="str">
        <f t="shared" si="99"/>
        <v>Rest of Vic.</v>
      </c>
    </row>
    <row r="1204" spans="1:9" x14ac:dyDescent="0.2">
      <c r="A1204" s="704">
        <v>3494</v>
      </c>
      <c r="B1204" s="704">
        <v>3494</v>
      </c>
      <c r="C1204" s="704" t="s">
        <v>582</v>
      </c>
      <c r="D1204" s="704" t="s">
        <v>541</v>
      </c>
      <c r="E1204" s="704">
        <v>1</v>
      </c>
      <c r="F1204" s="704">
        <v>100</v>
      </c>
      <c r="H1204">
        <f t="shared" si="98"/>
        <v>3494</v>
      </c>
      <c r="I1204" t="str">
        <f t="shared" si="99"/>
        <v>Rest of Vic.</v>
      </c>
    </row>
    <row r="1205" spans="1:9" x14ac:dyDescent="0.2">
      <c r="A1205" s="704">
        <v>3496</v>
      </c>
      <c r="B1205" s="704">
        <v>3496</v>
      </c>
      <c r="C1205" s="704" t="s">
        <v>578</v>
      </c>
      <c r="D1205" s="704" t="s">
        <v>530</v>
      </c>
      <c r="E1205" s="704">
        <v>1.4270999999999999E-3</v>
      </c>
      <c r="F1205" s="704">
        <v>0.14271200000000001</v>
      </c>
      <c r="H1205">
        <f t="shared" si="98"/>
        <v>3496</v>
      </c>
      <c r="I1205" t="str">
        <f t="shared" si="99"/>
        <v>Rest of NSW</v>
      </c>
    </row>
    <row r="1206" spans="1:9" x14ac:dyDescent="0.2">
      <c r="A1206" s="704">
        <v>3496</v>
      </c>
      <c r="B1206" s="704">
        <v>3496</v>
      </c>
      <c r="C1206" s="704" t="s">
        <v>582</v>
      </c>
      <c r="D1206" s="704" t="s">
        <v>541</v>
      </c>
      <c r="E1206" s="704">
        <v>0.99857300000000004</v>
      </c>
      <c r="F1206" s="704">
        <v>99.857299999999995</v>
      </c>
      <c r="H1206">
        <f t="shared" si="98"/>
        <v>3496</v>
      </c>
      <c r="I1206" t="str">
        <f t="shared" si="99"/>
        <v>Rest of Vic.</v>
      </c>
    </row>
    <row r="1207" spans="1:9" x14ac:dyDescent="0.2">
      <c r="A1207" s="704">
        <v>3498</v>
      </c>
      <c r="B1207" s="704">
        <v>3498</v>
      </c>
      <c r="C1207" s="704" t="s">
        <v>578</v>
      </c>
      <c r="D1207" s="704" t="s">
        <v>530</v>
      </c>
      <c r="E1207" s="704">
        <v>5.1610000000000002E-4</v>
      </c>
      <c r="F1207" s="704">
        <v>5.1611900000000002E-2</v>
      </c>
      <c r="H1207">
        <f t="shared" si="98"/>
        <v>3498</v>
      </c>
      <c r="I1207" t="str">
        <f t="shared" si="99"/>
        <v>Rest of NSW</v>
      </c>
    </row>
    <row r="1208" spans="1:9" x14ac:dyDescent="0.2">
      <c r="A1208" s="704">
        <v>3498</v>
      </c>
      <c r="B1208" s="704">
        <v>3498</v>
      </c>
      <c r="C1208" s="704" t="s">
        <v>582</v>
      </c>
      <c r="D1208" s="704" t="s">
        <v>541</v>
      </c>
      <c r="E1208" s="704">
        <v>0.99948400000000004</v>
      </c>
      <c r="F1208" s="704">
        <v>99.948400000000007</v>
      </c>
      <c r="H1208">
        <f t="shared" si="98"/>
        <v>3498</v>
      </c>
      <c r="I1208" t="str">
        <f t="shared" si="99"/>
        <v>Rest of Vic.</v>
      </c>
    </row>
    <row r="1209" spans="1:9" x14ac:dyDescent="0.2">
      <c r="A1209" s="704">
        <v>3500</v>
      </c>
      <c r="B1209" s="704">
        <v>3500</v>
      </c>
      <c r="C1209" s="704" t="s">
        <v>582</v>
      </c>
      <c r="D1209" s="704" t="s">
        <v>541</v>
      </c>
      <c r="E1209" s="704">
        <v>0.99991600000000003</v>
      </c>
      <c r="F1209" s="704">
        <v>99.991600000000005</v>
      </c>
      <c r="H1209">
        <f t="shared" ref="H1209:H1272" si="100">A1209*1</f>
        <v>3500</v>
      </c>
      <c r="I1209" t="str">
        <f t="shared" ref="I1209:I1272" si="101">D1209</f>
        <v>Rest of Vic.</v>
      </c>
    </row>
    <row r="1210" spans="1:9" x14ac:dyDescent="0.2">
      <c r="A1210" s="704">
        <v>3501</v>
      </c>
      <c r="B1210" s="704">
        <v>3501</v>
      </c>
      <c r="C1210" s="704" t="s">
        <v>578</v>
      </c>
      <c r="D1210" s="704" t="s">
        <v>530</v>
      </c>
      <c r="E1210" s="704">
        <v>4.6810999999999997E-3</v>
      </c>
      <c r="F1210" s="704">
        <v>0.468113</v>
      </c>
      <c r="H1210">
        <f t="shared" si="100"/>
        <v>3501</v>
      </c>
      <c r="I1210" t="str">
        <f t="shared" si="101"/>
        <v>Rest of NSW</v>
      </c>
    </row>
    <row r="1211" spans="1:9" x14ac:dyDescent="0.2">
      <c r="A1211" s="704">
        <v>3501</v>
      </c>
      <c r="B1211" s="704">
        <v>3501</v>
      </c>
      <c r="C1211" s="704" t="s">
        <v>582</v>
      </c>
      <c r="D1211" s="704" t="s">
        <v>541</v>
      </c>
      <c r="E1211" s="704">
        <v>0.99531899999999995</v>
      </c>
      <c r="F1211" s="704">
        <v>99.531899999999993</v>
      </c>
      <c r="H1211">
        <f t="shared" si="100"/>
        <v>3501</v>
      </c>
      <c r="I1211" t="str">
        <f t="shared" si="101"/>
        <v>Rest of Vic.</v>
      </c>
    </row>
    <row r="1212" spans="1:9" x14ac:dyDescent="0.2">
      <c r="A1212" s="704">
        <v>3505</v>
      </c>
      <c r="B1212" s="704">
        <v>3505</v>
      </c>
      <c r="C1212" s="704" t="s">
        <v>578</v>
      </c>
      <c r="D1212" s="704" t="s">
        <v>530</v>
      </c>
      <c r="E1212" s="704">
        <v>6.9800000000000005E-4</v>
      </c>
      <c r="F1212" s="704">
        <v>6.9804599999999994E-2</v>
      </c>
      <c r="H1212">
        <f t="shared" si="100"/>
        <v>3505</v>
      </c>
      <c r="I1212" t="str">
        <f t="shared" si="101"/>
        <v>Rest of NSW</v>
      </c>
    </row>
    <row r="1213" spans="1:9" x14ac:dyDescent="0.2">
      <c r="A1213" s="704">
        <v>3505</v>
      </c>
      <c r="B1213" s="704">
        <v>3505</v>
      </c>
      <c r="C1213" s="704" t="s">
        <v>582</v>
      </c>
      <c r="D1213" s="704" t="s">
        <v>541</v>
      </c>
      <c r="E1213" s="704">
        <v>0.99930200000000002</v>
      </c>
      <c r="F1213" s="704">
        <v>99.930199999999999</v>
      </c>
      <c r="H1213">
        <f t="shared" si="100"/>
        <v>3505</v>
      </c>
      <c r="I1213" t="str">
        <f t="shared" si="101"/>
        <v>Rest of Vic.</v>
      </c>
    </row>
    <row r="1214" spans="1:9" x14ac:dyDescent="0.2">
      <c r="A1214" s="704">
        <v>3506</v>
      </c>
      <c r="B1214" s="704">
        <v>3506</v>
      </c>
      <c r="C1214" s="704" t="s">
        <v>582</v>
      </c>
      <c r="D1214" s="704" t="s">
        <v>541</v>
      </c>
      <c r="E1214" s="704">
        <v>1</v>
      </c>
      <c r="F1214" s="704">
        <v>100</v>
      </c>
      <c r="H1214">
        <f t="shared" si="100"/>
        <v>3506</v>
      </c>
      <c r="I1214" t="str">
        <f t="shared" si="101"/>
        <v>Rest of Vic.</v>
      </c>
    </row>
    <row r="1215" spans="1:9" x14ac:dyDescent="0.2">
      <c r="A1215" s="704">
        <v>3507</v>
      </c>
      <c r="B1215" s="704">
        <v>3507</v>
      </c>
      <c r="C1215" s="704" t="s">
        <v>582</v>
      </c>
      <c r="D1215" s="704" t="s">
        <v>541</v>
      </c>
      <c r="E1215" s="704">
        <v>1</v>
      </c>
      <c r="F1215" s="704">
        <v>100</v>
      </c>
      <c r="H1215">
        <f t="shared" si="100"/>
        <v>3507</v>
      </c>
      <c r="I1215" t="str">
        <f t="shared" si="101"/>
        <v>Rest of Vic.</v>
      </c>
    </row>
    <row r="1216" spans="1:9" x14ac:dyDescent="0.2">
      <c r="A1216" s="704">
        <v>3509</v>
      </c>
      <c r="B1216" s="704">
        <v>3509</v>
      </c>
      <c r="C1216" s="704" t="s">
        <v>582</v>
      </c>
      <c r="D1216" s="704" t="s">
        <v>541</v>
      </c>
      <c r="E1216" s="704">
        <v>1</v>
      </c>
      <c r="F1216" s="704">
        <v>100</v>
      </c>
      <c r="H1216">
        <f t="shared" si="100"/>
        <v>3509</v>
      </c>
      <c r="I1216" t="str">
        <f t="shared" si="101"/>
        <v>Rest of Vic.</v>
      </c>
    </row>
    <row r="1217" spans="1:9" x14ac:dyDescent="0.2">
      <c r="A1217" s="704">
        <v>3512</v>
      </c>
      <c r="B1217" s="704">
        <v>3512</v>
      </c>
      <c r="C1217" s="704" t="s">
        <v>582</v>
      </c>
      <c r="D1217" s="704" t="s">
        <v>541</v>
      </c>
      <c r="E1217" s="704">
        <v>1</v>
      </c>
      <c r="F1217" s="704">
        <v>100</v>
      </c>
      <c r="H1217">
        <f t="shared" si="100"/>
        <v>3512</v>
      </c>
      <c r="I1217" t="str">
        <f t="shared" si="101"/>
        <v>Rest of Vic.</v>
      </c>
    </row>
    <row r="1218" spans="1:9" x14ac:dyDescent="0.2">
      <c r="A1218" s="704">
        <v>3515</v>
      </c>
      <c r="B1218" s="704">
        <v>3515</v>
      </c>
      <c r="C1218" s="704" t="s">
        <v>582</v>
      </c>
      <c r="D1218" s="704" t="s">
        <v>541</v>
      </c>
      <c r="E1218" s="704">
        <v>1</v>
      </c>
      <c r="F1218" s="704">
        <v>100</v>
      </c>
      <c r="H1218">
        <f t="shared" si="100"/>
        <v>3515</v>
      </c>
      <c r="I1218" t="str">
        <f t="shared" si="101"/>
        <v>Rest of Vic.</v>
      </c>
    </row>
    <row r="1219" spans="1:9" x14ac:dyDescent="0.2">
      <c r="A1219" s="704">
        <v>3516</v>
      </c>
      <c r="B1219" s="704">
        <v>3516</v>
      </c>
      <c r="C1219" s="704" t="s">
        <v>582</v>
      </c>
      <c r="D1219" s="704" t="s">
        <v>541</v>
      </c>
      <c r="E1219" s="704">
        <v>1</v>
      </c>
      <c r="F1219" s="704">
        <v>100</v>
      </c>
      <c r="H1219">
        <f t="shared" si="100"/>
        <v>3516</v>
      </c>
      <c r="I1219" t="str">
        <f t="shared" si="101"/>
        <v>Rest of Vic.</v>
      </c>
    </row>
    <row r="1220" spans="1:9" x14ac:dyDescent="0.2">
      <c r="A1220" s="704">
        <v>3517</v>
      </c>
      <c r="B1220" s="704">
        <v>3517</v>
      </c>
      <c r="C1220" s="704" t="s">
        <v>582</v>
      </c>
      <c r="D1220" s="704" t="s">
        <v>541</v>
      </c>
      <c r="E1220" s="704">
        <v>1</v>
      </c>
      <c r="F1220" s="704">
        <v>100</v>
      </c>
      <c r="H1220">
        <f t="shared" si="100"/>
        <v>3517</v>
      </c>
      <c r="I1220" t="str">
        <f t="shared" si="101"/>
        <v>Rest of Vic.</v>
      </c>
    </row>
    <row r="1221" spans="1:9" x14ac:dyDescent="0.2">
      <c r="A1221" s="704">
        <v>3518</v>
      </c>
      <c r="B1221" s="704">
        <v>3518</v>
      </c>
      <c r="C1221" s="704" t="s">
        <v>582</v>
      </c>
      <c r="D1221" s="704" t="s">
        <v>541</v>
      </c>
      <c r="E1221" s="704">
        <v>1</v>
      </c>
      <c r="F1221" s="704">
        <v>100</v>
      </c>
      <c r="H1221">
        <f t="shared" si="100"/>
        <v>3518</v>
      </c>
      <c r="I1221" t="str">
        <f t="shared" si="101"/>
        <v>Rest of Vic.</v>
      </c>
    </row>
    <row r="1222" spans="1:9" x14ac:dyDescent="0.2">
      <c r="A1222" s="704">
        <v>3520</v>
      </c>
      <c r="B1222" s="704">
        <v>3520</v>
      </c>
      <c r="C1222" s="704" t="s">
        <v>582</v>
      </c>
      <c r="D1222" s="704" t="s">
        <v>541</v>
      </c>
      <c r="E1222" s="704">
        <v>1</v>
      </c>
      <c r="F1222" s="704">
        <v>100</v>
      </c>
      <c r="H1222">
        <f t="shared" si="100"/>
        <v>3520</v>
      </c>
      <c r="I1222" t="str">
        <f t="shared" si="101"/>
        <v>Rest of Vic.</v>
      </c>
    </row>
    <row r="1223" spans="1:9" x14ac:dyDescent="0.2">
      <c r="A1223" s="704">
        <v>3521</v>
      </c>
      <c r="B1223" s="704">
        <v>3521</v>
      </c>
      <c r="C1223" s="704" t="s">
        <v>582</v>
      </c>
      <c r="D1223" s="704" t="s">
        <v>541</v>
      </c>
      <c r="E1223" s="704">
        <v>1</v>
      </c>
      <c r="F1223" s="704">
        <v>100</v>
      </c>
      <c r="H1223">
        <f t="shared" si="100"/>
        <v>3521</v>
      </c>
      <c r="I1223" t="str">
        <f t="shared" si="101"/>
        <v>Rest of Vic.</v>
      </c>
    </row>
    <row r="1224" spans="1:9" x14ac:dyDescent="0.2">
      <c r="A1224" s="704">
        <v>3522</v>
      </c>
      <c r="B1224" s="704">
        <v>3522</v>
      </c>
      <c r="C1224" s="704" t="s">
        <v>582</v>
      </c>
      <c r="D1224" s="704" t="s">
        <v>541</v>
      </c>
      <c r="E1224" s="704">
        <v>1</v>
      </c>
      <c r="F1224" s="704">
        <v>100</v>
      </c>
      <c r="H1224">
        <f t="shared" si="100"/>
        <v>3522</v>
      </c>
      <c r="I1224" t="str">
        <f t="shared" si="101"/>
        <v>Rest of Vic.</v>
      </c>
    </row>
    <row r="1225" spans="1:9" x14ac:dyDescent="0.2">
      <c r="A1225" s="704">
        <v>3523</v>
      </c>
      <c r="B1225" s="704">
        <v>3523</v>
      </c>
      <c r="C1225" s="704" t="s">
        <v>582</v>
      </c>
      <c r="D1225" s="704" t="s">
        <v>541</v>
      </c>
      <c r="E1225" s="704">
        <v>1</v>
      </c>
      <c r="F1225" s="704">
        <v>100</v>
      </c>
      <c r="H1225">
        <f t="shared" si="100"/>
        <v>3523</v>
      </c>
      <c r="I1225" t="str">
        <f t="shared" si="101"/>
        <v>Rest of Vic.</v>
      </c>
    </row>
    <row r="1226" spans="1:9" x14ac:dyDescent="0.2">
      <c r="A1226" s="704">
        <v>3525</v>
      </c>
      <c r="B1226" s="704">
        <v>3525</v>
      </c>
      <c r="C1226" s="704" t="s">
        <v>582</v>
      </c>
      <c r="D1226" s="704" t="s">
        <v>541</v>
      </c>
      <c r="E1226" s="704">
        <v>1</v>
      </c>
      <c r="F1226" s="704">
        <v>100</v>
      </c>
      <c r="H1226">
        <f t="shared" si="100"/>
        <v>3525</v>
      </c>
      <c r="I1226" t="str">
        <f t="shared" si="101"/>
        <v>Rest of Vic.</v>
      </c>
    </row>
    <row r="1227" spans="1:9" x14ac:dyDescent="0.2">
      <c r="A1227" s="704">
        <v>3527</v>
      </c>
      <c r="B1227" s="704">
        <v>3527</v>
      </c>
      <c r="C1227" s="704" t="s">
        <v>582</v>
      </c>
      <c r="D1227" s="704" t="s">
        <v>541</v>
      </c>
      <c r="E1227" s="704">
        <v>1</v>
      </c>
      <c r="F1227" s="704">
        <v>100</v>
      </c>
      <c r="H1227">
        <f t="shared" si="100"/>
        <v>3527</v>
      </c>
      <c r="I1227" t="str">
        <f t="shared" si="101"/>
        <v>Rest of Vic.</v>
      </c>
    </row>
    <row r="1228" spans="1:9" x14ac:dyDescent="0.2">
      <c r="A1228" s="704">
        <v>3529</v>
      </c>
      <c r="B1228" s="704">
        <v>3529</v>
      </c>
      <c r="C1228" s="704" t="s">
        <v>582</v>
      </c>
      <c r="D1228" s="704" t="s">
        <v>541</v>
      </c>
      <c r="E1228" s="704">
        <v>1</v>
      </c>
      <c r="F1228" s="704">
        <v>100</v>
      </c>
      <c r="H1228">
        <f t="shared" si="100"/>
        <v>3529</v>
      </c>
      <c r="I1228" t="str">
        <f t="shared" si="101"/>
        <v>Rest of Vic.</v>
      </c>
    </row>
    <row r="1229" spans="1:9" x14ac:dyDescent="0.2">
      <c r="A1229" s="704">
        <v>3530</v>
      </c>
      <c r="B1229" s="704">
        <v>3530</v>
      </c>
      <c r="C1229" s="704" t="s">
        <v>582</v>
      </c>
      <c r="D1229" s="704" t="s">
        <v>541</v>
      </c>
      <c r="E1229" s="704">
        <v>1</v>
      </c>
      <c r="F1229" s="704">
        <v>100</v>
      </c>
      <c r="H1229">
        <f t="shared" si="100"/>
        <v>3530</v>
      </c>
      <c r="I1229" t="str">
        <f t="shared" si="101"/>
        <v>Rest of Vic.</v>
      </c>
    </row>
    <row r="1230" spans="1:9" x14ac:dyDescent="0.2">
      <c r="A1230" s="704">
        <v>3531</v>
      </c>
      <c r="B1230" s="704">
        <v>3531</v>
      </c>
      <c r="C1230" s="704" t="s">
        <v>582</v>
      </c>
      <c r="D1230" s="704" t="s">
        <v>541</v>
      </c>
      <c r="E1230" s="704">
        <v>1</v>
      </c>
      <c r="F1230" s="704">
        <v>100</v>
      </c>
      <c r="H1230">
        <f t="shared" si="100"/>
        <v>3531</v>
      </c>
      <c r="I1230" t="str">
        <f t="shared" si="101"/>
        <v>Rest of Vic.</v>
      </c>
    </row>
    <row r="1231" spans="1:9" x14ac:dyDescent="0.2">
      <c r="A1231" s="704">
        <v>3533</v>
      </c>
      <c r="B1231" s="704">
        <v>3533</v>
      </c>
      <c r="C1231" s="704" t="s">
        <v>582</v>
      </c>
      <c r="D1231" s="704" t="s">
        <v>541</v>
      </c>
      <c r="E1231" s="704">
        <v>1</v>
      </c>
      <c r="F1231" s="704">
        <v>100</v>
      </c>
      <c r="H1231">
        <f t="shared" si="100"/>
        <v>3533</v>
      </c>
      <c r="I1231" t="str">
        <f t="shared" si="101"/>
        <v>Rest of Vic.</v>
      </c>
    </row>
    <row r="1232" spans="1:9" x14ac:dyDescent="0.2">
      <c r="A1232" s="704">
        <v>3537</v>
      </c>
      <c r="B1232" s="704">
        <v>3537</v>
      </c>
      <c r="C1232" s="704" t="s">
        <v>582</v>
      </c>
      <c r="D1232" s="704" t="s">
        <v>541</v>
      </c>
      <c r="E1232" s="704">
        <v>1</v>
      </c>
      <c r="F1232" s="704">
        <v>100</v>
      </c>
      <c r="H1232">
        <f t="shared" si="100"/>
        <v>3537</v>
      </c>
      <c r="I1232" t="str">
        <f t="shared" si="101"/>
        <v>Rest of Vic.</v>
      </c>
    </row>
    <row r="1233" spans="1:9" x14ac:dyDescent="0.2">
      <c r="A1233" s="704">
        <v>3540</v>
      </c>
      <c r="B1233" s="704">
        <v>3540</v>
      </c>
      <c r="C1233" s="704" t="s">
        <v>582</v>
      </c>
      <c r="D1233" s="704" t="s">
        <v>541</v>
      </c>
      <c r="E1233" s="704">
        <v>1</v>
      </c>
      <c r="F1233" s="704">
        <v>100</v>
      </c>
      <c r="H1233">
        <f t="shared" si="100"/>
        <v>3540</v>
      </c>
      <c r="I1233" t="str">
        <f t="shared" si="101"/>
        <v>Rest of Vic.</v>
      </c>
    </row>
    <row r="1234" spans="1:9" x14ac:dyDescent="0.2">
      <c r="A1234" s="704">
        <v>3542</v>
      </c>
      <c r="B1234" s="704">
        <v>3542</v>
      </c>
      <c r="C1234" s="704" t="s">
        <v>582</v>
      </c>
      <c r="D1234" s="704" t="s">
        <v>541</v>
      </c>
      <c r="E1234" s="704">
        <v>1</v>
      </c>
      <c r="F1234" s="704">
        <v>100</v>
      </c>
      <c r="H1234">
        <f t="shared" si="100"/>
        <v>3542</v>
      </c>
      <c r="I1234" t="str">
        <f t="shared" si="101"/>
        <v>Rest of Vic.</v>
      </c>
    </row>
    <row r="1235" spans="1:9" x14ac:dyDescent="0.2">
      <c r="A1235" s="704">
        <v>3544</v>
      </c>
      <c r="B1235" s="704">
        <v>3544</v>
      </c>
      <c r="C1235" s="704" t="s">
        <v>582</v>
      </c>
      <c r="D1235" s="704" t="s">
        <v>541</v>
      </c>
      <c r="E1235" s="704">
        <v>1</v>
      </c>
      <c r="F1235" s="704">
        <v>100</v>
      </c>
      <c r="H1235">
        <f t="shared" si="100"/>
        <v>3544</v>
      </c>
      <c r="I1235" t="str">
        <f t="shared" si="101"/>
        <v>Rest of Vic.</v>
      </c>
    </row>
    <row r="1236" spans="1:9" x14ac:dyDescent="0.2">
      <c r="A1236" s="704">
        <v>3546</v>
      </c>
      <c r="B1236" s="704">
        <v>3546</v>
      </c>
      <c r="C1236" s="704" t="s">
        <v>582</v>
      </c>
      <c r="D1236" s="704" t="s">
        <v>541</v>
      </c>
      <c r="E1236" s="704">
        <v>1</v>
      </c>
      <c r="F1236" s="704">
        <v>100</v>
      </c>
      <c r="H1236">
        <f t="shared" si="100"/>
        <v>3546</v>
      </c>
      <c r="I1236" t="str">
        <f t="shared" si="101"/>
        <v>Rest of Vic.</v>
      </c>
    </row>
    <row r="1237" spans="1:9" x14ac:dyDescent="0.2">
      <c r="A1237" s="704">
        <v>3549</v>
      </c>
      <c r="B1237" s="704">
        <v>3549</v>
      </c>
      <c r="C1237" s="704" t="s">
        <v>578</v>
      </c>
      <c r="D1237" s="704" t="s">
        <v>530</v>
      </c>
      <c r="E1237" s="704">
        <v>3.8160999999999998E-3</v>
      </c>
      <c r="F1237" s="704">
        <v>0.38160899999999998</v>
      </c>
      <c r="H1237">
        <f t="shared" si="100"/>
        <v>3549</v>
      </c>
      <c r="I1237" t="str">
        <f t="shared" si="101"/>
        <v>Rest of NSW</v>
      </c>
    </row>
    <row r="1238" spans="1:9" x14ac:dyDescent="0.2">
      <c r="A1238" s="704">
        <v>3549</v>
      </c>
      <c r="B1238" s="704">
        <v>3549</v>
      </c>
      <c r="C1238" s="704" t="s">
        <v>582</v>
      </c>
      <c r="D1238" s="704" t="s">
        <v>541</v>
      </c>
      <c r="E1238" s="704">
        <v>0.99618399999999996</v>
      </c>
      <c r="F1238" s="704">
        <v>99.618399999999994</v>
      </c>
      <c r="H1238">
        <f t="shared" si="100"/>
        <v>3549</v>
      </c>
      <c r="I1238" t="str">
        <f t="shared" si="101"/>
        <v>Rest of Vic.</v>
      </c>
    </row>
    <row r="1239" spans="1:9" x14ac:dyDescent="0.2">
      <c r="A1239" s="704">
        <v>3550</v>
      </c>
      <c r="B1239" s="704">
        <v>3550</v>
      </c>
      <c r="C1239" s="704" t="s">
        <v>582</v>
      </c>
      <c r="D1239" s="704" t="s">
        <v>541</v>
      </c>
      <c r="E1239" s="704">
        <v>1</v>
      </c>
      <c r="F1239" s="704">
        <v>100</v>
      </c>
      <c r="H1239">
        <f t="shared" si="100"/>
        <v>3550</v>
      </c>
      <c r="I1239" t="str">
        <f t="shared" si="101"/>
        <v>Rest of Vic.</v>
      </c>
    </row>
    <row r="1240" spans="1:9" x14ac:dyDescent="0.2">
      <c r="A1240" s="704">
        <v>3551</v>
      </c>
      <c r="B1240" s="704">
        <v>3551</v>
      </c>
      <c r="C1240" s="704" t="s">
        <v>582</v>
      </c>
      <c r="D1240" s="704" t="s">
        <v>541</v>
      </c>
      <c r="E1240" s="704">
        <v>1</v>
      </c>
      <c r="F1240" s="704">
        <v>100</v>
      </c>
      <c r="H1240">
        <f t="shared" si="100"/>
        <v>3551</v>
      </c>
      <c r="I1240" t="str">
        <f t="shared" si="101"/>
        <v>Rest of Vic.</v>
      </c>
    </row>
    <row r="1241" spans="1:9" x14ac:dyDescent="0.2">
      <c r="A1241" s="704">
        <v>3555</v>
      </c>
      <c r="B1241" s="704">
        <v>3555</v>
      </c>
      <c r="C1241" s="704" t="s">
        <v>582</v>
      </c>
      <c r="D1241" s="704" t="s">
        <v>541</v>
      </c>
      <c r="E1241" s="704">
        <v>1</v>
      </c>
      <c r="F1241" s="704">
        <v>100</v>
      </c>
      <c r="H1241">
        <f t="shared" si="100"/>
        <v>3555</v>
      </c>
      <c r="I1241" t="str">
        <f t="shared" si="101"/>
        <v>Rest of Vic.</v>
      </c>
    </row>
    <row r="1242" spans="1:9" x14ac:dyDescent="0.2">
      <c r="A1242" s="704">
        <v>3556</v>
      </c>
      <c r="B1242" s="704">
        <v>3556</v>
      </c>
      <c r="C1242" s="704" t="s">
        <v>582</v>
      </c>
      <c r="D1242" s="704" t="s">
        <v>541</v>
      </c>
      <c r="E1242" s="704">
        <v>1</v>
      </c>
      <c r="F1242" s="704">
        <v>100</v>
      </c>
      <c r="H1242">
        <f t="shared" si="100"/>
        <v>3556</v>
      </c>
      <c r="I1242" t="str">
        <f t="shared" si="101"/>
        <v>Rest of Vic.</v>
      </c>
    </row>
    <row r="1243" spans="1:9" x14ac:dyDescent="0.2">
      <c r="A1243" s="704">
        <v>3557</v>
      </c>
      <c r="B1243" s="704">
        <v>3557</v>
      </c>
      <c r="C1243" s="704" t="s">
        <v>582</v>
      </c>
      <c r="D1243" s="704" t="s">
        <v>541</v>
      </c>
      <c r="E1243" s="704">
        <v>1</v>
      </c>
      <c r="F1243" s="704">
        <v>100</v>
      </c>
      <c r="H1243">
        <f t="shared" si="100"/>
        <v>3557</v>
      </c>
      <c r="I1243" t="str">
        <f t="shared" si="101"/>
        <v>Rest of Vic.</v>
      </c>
    </row>
    <row r="1244" spans="1:9" x14ac:dyDescent="0.2">
      <c r="A1244" s="704">
        <v>3558</v>
      </c>
      <c r="B1244" s="704">
        <v>3558</v>
      </c>
      <c r="C1244" s="704" t="s">
        <v>582</v>
      </c>
      <c r="D1244" s="704" t="s">
        <v>541</v>
      </c>
      <c r="E1244" s="704">
        <v>1</v>
      </c>
      <c r="F1244" s="704">
        <v>100</v>
      </c>
      <c r="H1244">
        <f t="shared" si="100"/>
        <v>3558</v>
      </c>
      <c r="I1244" t="str">
        <f t="shared" si="101"/>
        <v>Rest of Vic.</v>
      </c>
    </row>
    <row r="1245" spans="1:9" x14ac:dyDescent="0.2">
      <c r="A1245" s="704">
        <v>3559</v>
      </c>
      <c r="B1245" s="704">
        <v>3559</v>
      </c>
      <c r="C1245" s="704" t="s">
        <v>582</v>
      </c>
      <c r="D1245" s="704" t="s">
        <v>541</v>
      </c>
      <c r="E1245" s="704">
        <v>1</v>
      </c>
      <c r="F1245" s="704">
        <v>100</v>
      </c>
      <c r="H1245">
        <f t="shared" si="100"/>
        <v>3559</v>
      </c>
      <c r="I1245" t="str">
        <f t="shared" si="101"/>
        <v>Rest of Vic.</v>
      </c>
    </row>
    <row r="1246" spans="1:9" x14ac:dyDescent="0.2">
      <c r="A1246" s="704">
        <v>3561</v>
      </c>
      <c r="B1246" s="704">
        <v>3561</v>
      </c>
      <c r="C1246" s="704" t="s">
        <v>582</v>
      </c>
      <c r="D1246" s="704" t="s">
        <v>541</v>
      </c>
      <c r="E1246" s="704">
        <v>1</v>
      </c>
      <c r="F1246" s="704">
        <v>100</v>
      </c>
      <c r="H1246">
        <f t="shared" si="100"/>
        <v>3561</v>
      </c>
      <c r="I1246" t="str">
        <f t="shared" si="101"/>
        <v>Rest of Vic.</v>
      </c>
    </row>
    <row r="1247" spans="1:9" x14ac:dyDescent="0.2">
      <c r="A1247" s="704">
        <v>3562</v>
      </c>
      <c r="B1247" s="704">
        <v>3562</v>
      </c>
      <c r="C1247" s="704" t="s">
        <v>582</v>
      </c>
      <c r="D1247" s="704" t="s">
        <v>541</v>
      </c>
      <c r="E1247" s="704">
        <v>1</v>
      </c>
      <c r="F1247" s="704">
        <v>100</v>
      </c>
      <c r="H1247">
        <f t="shared" si="100"/>
        <v>3562</v>
      </c>
      <c r="I1247" t="str">
        <f t="shared" si="101"/>
        <v>Rest of Vic.</v>
      </c>
    </row>
    <row r="1248" spans="1:9" x14ac:dyDescent="0.2">
      <c r="A1248" s="704">
        <v>3563</v>
      </c>
      <c r="B1248" s="704">
        <v>3563</v>
      </c>
      <c r="C1248" s="704" t="s">
        <v>582</v>
      </c>
      <c r="D1248" s="704" t="s">
        <v>541</v>
      </c>
      <c r="E1248" s="704">
        <v>1</v>
      </c>
      <c r="F1248" s="704">
        <v>100</v>
      </c>
      <c r="H1248">
        <f t="shared" si="100"/>
        <v>3563</v>
      </c>
      <c r="I1248" t="str">
        <f t="shared" si="101"/>
        <v>Rest of Vic.</v>
      </c>
    </row>
    <row r="1249" spans="1:9" x14ac:dyDescent="0.2">
      <c r="A1249" s="704">
        <v>3564</v>
      </c>
      <c r="B1249" s="704">
        <v>3564</v>
      </c>
      <c r="C1249" s="704" t="s">
        <v>578</v>
      </c>
      <c r="D1249" s="704" t="s">
        <v>530</v>
      </c>
      <c r="E1249" s="704">
        <v>2.8167999999999999E-3</v>
      </c>
      <c r="F1249" s="704">
        <v>0.28167999999999999</v>
      </c>
      <c r="H1249">
        <f t="shared" si="100"/>
        <v>3564</v>
      </c>
      <c r="I1249" t="str">
        <f t="shared" si="101"/>
        <v>Rest of NSW</v>
      </c>
    </row>
    <row r="1250" spans="1:9" x14ac:dyDescent="0.2">
      <c r="A1250" s="704">
        <v>3564</v>
      </c>
      <c r="B1250" s="704">
        <v>3564</v>
      </c>
      <c r="C1250" s="704" t="s">
        <v>582</v>
      </c>
      <c r="D1250" s="704" t="s">
        <v>541</v>
      </c>
      <c r="E1250" s="704">
        <v>0.99718300000000004</v>
      </c>
      <c r="F1250" s="704">
        <v>99.718299999999999</v>
      </c>
      <c r="H1250">
        <f t="shared" si="100"/>
        <v>3564</v>
      </c>
      <c r="I1250" t="str">
        <f t="shared" si="101"/>
        <v>Rest of Vic.</v>
      </c>
    </row>
    <row r="1251" spans="1:9" x14ac:dyDescent="0.2">
      <c r="A1251" s="704">
        <v>3565</v>
      </c>
      <c r="B1251" s="704">
        <v>3565</v>
      </c>
      <c r="C1251" s="704" t="s">
        <v>582</v>
      </c>
      <c r="D1251" s="704" t="s">
        <v>541</v>
      </c>
      <c r="E1251" s="704">
        <v>1</v>
      </c>
      <c r="F1251" s="704">
        <v>100</v>
      </c>
      <c r="H1251">
        <f t="shared" si="100"/>
        <v>3565</v>
      </c>
      <c r="I1251" t="str">
        <f t="shared" si="101"/>
        <v>Rest of Vic.</v>
      </c>
    </row>
    <row r="1252" spans="1:9" x14ac:dyDescent="0.2">
      <c r="A1252" s="704">
        <v>3566</v>
      </c>
      <c r="B1252" s="704">
        <v>3566</v>
      </c>
      <c r="C1252" s="704" t="s">
        <v>582</v>
      </c>
      <c r="D1252" s="704" t="s">
        <v>541</v>
      </c>
      <c r="E1252" s="704">
        <v>1</v>
      </c>
      <c r="F1252" s="704">
        <v>100</v>
      </c>
      <c r="H1252">
        <f t="shared" si="100"/>
        <v>3566</v>
      </c>
      <c r="I1252" t="str">
        <f t="shared" si="101"/>
        <v>Rest of Vic.</v>
      </c>
    </row>
    <row r="1253" spans="1:9" x14ac:dyDescent="0.2">
      <c r="A1253" s="704">
        <v>3567</v>
      </c>
      <c r="B1253" s="704">
        <v>3567</v>
      </c>
      <c r="C1253" s="704" t="s">
        <v>582</v>
      </c>
      <c r="D1253" s="704" t="s">
        <v>541</v>
      </c>
      <c r="E1253" s="704">
        <v>1</v>
      </c>
      <c r="F1253" s="704">
        <v>100</v>
      </c>
      <c r="H1253">
        <f t="shared" si="100"/>
        <v>3567</v>
      </c>
      <c r="I1253" t="str">
        <f t="shared" si="101"/>
        <v>Rest of Vic.</v>
      </c>
    </row>
    <row r="1254" spans="1:9" x14ac:dyDescent="0.2">
      <c r="A1254" s="704">
        <v>3568</v>
      </c>
      <c r="B1254" s="704">
        <v>3568</v>
      </c>
      <c r="C1254" s="704" t="s">
        <v>582</v>
      </c>
      <c r="D1254" s="704" t="s">
        <v>541</v>
      </c>
      <c r="E1254" s="704">
        <v>1</v>
      </c>
      <c r="F1254" s="704">
        <v>100</v>
      </c>
      <c r="H1254">
        <f t="shared" si="100"/>
        <v>3568</v>
      </c>
      <c r="I1254" t="str">
        <f t="shared" si="101"/>
        <v>Rest of Vic.</v>
      </c>
    </row>
    <row r="1255" spans="1:9" x14ac:dyDescent="0.2">
      <c r="A1255" s="704">
        <v>3570</v>
      </c>
      <c r="B1255" s="704">
        <v>3570</v>
      </c>
      <c r="C1255" s="704" t="s">
        <v>582</v>
      </c>
      <c r="D1255" s="704" t="s">
        <v>541</v>
      </c>
      <c r="E1255" s="704">
        <v>1</v>
      </c>
      <c r="F1255" s="704">
        <v>100</v>
      </c>
      <c r="H1255">
        <f t="shared" si="100"/>
        <v>3570</v>
      </c>
      <c r="I1255" t="str">
        <f t="shared" si="101"/>
        <v>Rest of Vic.</v>
      </c>
    </row>
    <row r="1256" spans="1:9" x14ac:dyDescent="0.2">
      <c r="A1256" s="704">
        <v>3571</v>
      </c>
      <c r="B1256" s="704">
        <v>3571</v>
      </c>
      <c r="C1256" s="704" t="s">
        <v>582</v>
      </c>
      <c r="D1256" s="704" t="s">
        <v>541</v>
      </c>
      <c r="E1256" s="704">
        <v>1</v>
      </c>
      <c r="F1256" s="704">
        <v>100</v>
      </c>
      <c r="H1256">
        <f t="shared" si="100"/>
        <v>3571</v>
      </c>
      <c r="I1256" t="str">
        <f t="shared" si="101"/>
        <v>Rest of Vic.</v>
      </c>
    </row>
    <row r="1257" spans="1:9" x14ac:dyDescent="0.2">
      <c r="A1257" s="704">
        <v>3572</v>
      </c>
      <c r="B1257" s="704">
        <v>3572</v>
      </c>
      <c r="C1257" s="704" t="s">
        <v>582</v>
      </c>
      <c r="D1257" s="704" t="s">
        <v>541</v>
      </c>
      <c r="E1257" s="704">
        <v>1</v>
      </c>
      <c r="F1257" s="704">
        <v>100</v>
      </c>
      <c r="H1257">
        <f t="shared" si="100"/>
        <v>3572</v>
      </c>
      <c r="I1257" t="str">
        <f t="shared" si="101"/>
        <v>Rest of Vic.</v>
      </c>
    </row>
    <row r="1258" spans="1:9" x14ac:dyDescent="0.2">
      <c r="A1258" s="704">
        <v>3573</v>
      </c>
      <c r="B1258" s="704">
        <v>3573</v>
      </c>
      <c r="C1258" s="704" t="s">
        <v>582</v>
      </c>
      <c r="D1258" s="704" t="s">
        <v>541</v>
      </c>
      <c r="E1258" s="704">
        <v>1</v>
      </c>
      <c r="F1258" s="704">
        <v>100</v>
      </c>
      <c r="H1258">
        <f t="shared" si="100"/>
        <v>3573</v>
      </c>
      <c r="I1258" t="str">
        <f t="shared" si="101"/>
        <v>Rest of Vic.</v>
      </c>
    </row>
    <row r="1259" spans="1:9" x14ac:dyDescent="0.2">
      <c r="A1259" s="704">
        <v>3575</v>
      </c>
      <c r="B1259" s="704">
        <v>3575</v>
      </c>
      <c r="C1259" s="704" t="s">
        <v>582</v>
      </c>
      <c r="D1259" s="704" t="s">
        <v>541</v>
      </c>
      <c r="E1259" s="704">
        <v>1</v>
      </c>
      <c r="F1259" s="704">
        <v>100</v>
      </c>
      <c r="H1259">
        <f t="shared" si="100"/>
        <v>3575</v>
      </c>
      <c r="I1259" t="str">
        <f t="shared" si="101"/>
        <v>Rest of Vic.</v>
      </c>
    </row>
    <row r="1260" spans="1:9" x14ac:dyDescent="0.2">
      <c r="A1260" s="704">
        <v>3576</v>
      </c>
      <c r="B1260" s="704">
        <v>3576</v>
      </c>
      <c r="C1260" s="704" t="s">
        <v>582</v>
      </c>
      <c r="D1260" s="704" t="s">
        <v>541</v>
      </c>
      <c r="E1260" s="704">
        <v>1</v>
      </c>
      <c r="F1260" s="704">
        <v>100</v>
      </c>
      <c r="H1260">
        <f t="shared" si="100"/>
        <v>3576</v>
      </c>
      <c r="I1260" t="str">
        <f t="shared" si="101"/>
        <v>Rest of Vic.</v>
      </c>
    </row>
    <row r="1261" spans="1:9" x14ac:dyDescent="0.2">
      <c r="A1261" s="704">
        <v>3579</v>
      </c>
      <c r="B1261" s="704">
        <v>3579</v>
      </c>
      <c r="C1261" s="704" t="s">
        <v>582</v>
      </c>
      <c r="D1261" s="704" t="s">
        <v>541</v>
      </c>
      <c r="E1261" s="704">
        <v>1</v>
      </c>
      <c r="F1261" s="704">
        <v>100</v>
      </c>
      <c r="H1261">
        <f t="shared" si="100"/>
        <v>3579</v>
      </c>
      <c r="I1261" t="str">
        <f t="shared" si="101"/>
        <v>Rest of Vic.</v>
      </c>
    </row>
    <row r="1262" spans="1:9" x14ac:dyDescent="0.2">
      <c r="A1262" s="704">
        <v>3580</v>
      </c>
      <c r="B1262" s="704">
        <v>3580</v>
      </c>
      <c r="C1262" s="704" t="s">
        <v>578</v>
      </c>
      <c r="D1262" s="704" t="s">
        <v>530</v>
      </c>
      <c r="E1262" s="704">
        <v>3.9522999999999997E-3</v>
      </c>
      <c r="F1262" s="704">
        <v>0.39522800000000002</v>
      </c>
      <c r="H1262">
        <f t="shared" si="100"/>
        <v>3580</v>
      </c>
      <c r="I1262" t="str">
        <f t="shared" si="101"/>
        <v>Rest of NSW</v>
      </c>
    </row>
    <row r="1263" spans="1:9" x14ac:dyDescent="0.2">
      <c r="A1263" s="704">
        <v>3580</v>
      </c>
      <c r="B1263" s="704">
        <v>3580</v>
      </c>
      <c r="C1263" s="704" t="s">
        <v>582</v>
      </c>
      <c r="D1263" s="704" t="s">
        <v>541</v>
      </c>
      <c r="E1263" s="704">
        <v>0.99604800000000004</v>
      </c>
      <c r="F1263" s="704">
        <v>99.604799999999997</v>
      </c>
      <c r="H1263">
        <f t="shared" si="100"/>
        <v>3580</v>
      </c>
      <c r="I1263" t="str">
        <f t="shared" si="101"/>
        <v>Rest of Vic.</v>
      </c>
    </row>
    <row r="1264" spans="1:9" x14ac:dyDescent="0.2">
      <c r="A1264" s="704">
        <v>3581</v>
      </c>
      <c r="B1264" s="704">
        <v>3581</v>
      </c>
      <c r="C1264" s="704" t="s">
        <v>582</v>
      </c>
      <c r="D1264" s="704" t="s">
        <v>541</v>
      </c>
      <c r="E1264" s="704">
        <v>1</v>
      </c>
      <c r="F1264" s="704">
        <v>100</v>
      </c>
      <c r="H1264">
        <f t="shared" si="100"/>
        <v>3581</v>
      </c>
      <c r="I1264" t="str">
        <f t="shared" si="101"/>
        <v>Rest of Vic.</v>
      </c>
    </row>
    <row r="1265" spans="1:9" x14ac:dyDescent="0.2">
      <c r="A1265" s="704">
        <v>3583</v>
      </c>
      <c r="B1265" s="704">
        <v>3583</v>
      </c>
      <c r="C1265" s="704" t="s">
        <v>582</v>
      </c>
      <c r="D1265" s="704" t="s">
        <v>541</v>
      </c>
      <c r="E1265" s="704">
        <v>1</v>
      </c>
      <c r="F1265" s="704">
        <v>100</v>
      </c>
      <c r="H1265">
        <f t="shared" si="100"/>
        <v>3583</v>
      </c>
      <c r="I1265" t="str">
        <f t="shared" si="101"/>
        <v>Rest of Vic.</v>
      </c>
    </row>
    <row r="1266" spans="1:9" x14ac:dyDescent="0.2">
      <c r="A1266" s="704">
        <v>3584</v>
      </c>
      <c r="B1266" s="704">
        <v>3584</v>
      </c>
      <c r="C1266" s="704" t="s">
        <v>582</v>
      </c>
      <c r="D1266" s="704" t="s">
        <v>541</v>
      </c>
      <c r="E1266" s="704">
        <v>1</v>
      </c>
      <c r="F1266" s="704">
        <v>100</v>
      </c>
      <c r="H1266">
        <f t="shared" si="100"/>
        <v>3584</v>
      </c>
      <c r="I1266" t="str">
        <f t="shared" si="101"/>
        <v>Rest of Vic.</v>
      </c>
    </row>
    <row r="1267" spans="1:9" x14ac:dyDescent="0.2">
      <c r="A1267" s="704">
        <v>3585</v>
      </c>
      <c r="B1267" s="704">
        <v>3585</v>
      </c>
      <c r="C1267" s="704" t="s">
        <v>578</v>
      </c>
      <c r="D1267" s="704" t="s">
        <v>530</v>
      </c>
      <c r="E1267" s="704">
        <v>2.34001E-2</v>
      </c>
      <c r="F1267" s="704">
        <v>2.3400099999999999</v>
      </c>
      <c r="H1267">
        <f t="shared" si="100"/>
        <v>3585</v>
      </c>
      <c r="I1267" t="str">
        <f t="shared" si="101"/>
        <v>Rest of NSW</v>
      </c>
    </row>
    <row r="1268" spans="1:9" x14ac:dyDescent="0.2">
      <c r="A1268" s="704">
        <v>3585</v>
      </c>
      <c r="B1268" s="704">
        <v>3585</v>
      </c>
      <c r="C1268" s="704" t="s">
        <v>582</v>
      </c>
      <c r="D1268" s="704" t="s">
        <v>541</v>
      </c>
      <c r="E1268" s="704">
        <v>0.97660000000000002</v>
      </c>
      <c r="F1268" s="704">
        <v>97.66</v>
      </c>
      <c r="H1268">
        <f t="shared" si="100"/>
        <v>3585</v>
      </c>
      <c r="I1268" t="str">
        <f t="shared" si="101"/>
        <v>Rest of Vic.</v>
      </c>
    </row>
    <row r="1269" spans="1:9" x14ac:dyDescent="0.2">
      <c r="A1269" s="704">
        <v>3586</v>
      </c>
      <c r="B1269" s="704">
        <v>3586</v>
      </c>
      <c r="C1269" s="704" t="s">
        <v>578</v>
      </c>
      <c r="D1269" s="704" t="s">
        <v>530</v>
      </c>
      <c r="E1269" s="704">
        <v>7.2436799999999996E-2</v>
      </c>
      <c r="F1269" s="704">
        <v>7.2436800000000003</v>
      </c>
      <c r="H1269">
        <f t="shared" si="100"/>
        <v>3586</v>
      </c>
      <c r="I1269" t="str">
        <f t="shared" si="101"/>
        <v>Rest of NSW</v>
      </c>
    </row>
    <row r="1270" spans="1:9" x14ac:dyDescent="0.2">
      <c r="A1270" s="704">
        <v>3586</v>
      </c>
      <c r="B1270" s="704">
        <v>3586</v>
      </c>
      <c r="C1270" s="704" t="s">
        <v>582</v>
      </c>
      <c r="D1270" s="704" t="s">
        <v>541</v>
      </c>
      <c r="E1270" s="704">
        <v>0.92756300000000003</v>
      </c>
      <c r="F1270" s="704">
        <v>92.756299999999996</v>
      </c>
      <c r="H1270">
        <f t="shared" si="100"/>
        <v>3586</v>
      </c>
      <c r="I1270" t="str">
        <f t="shared" si="101"/>
        <v>Rest of Vic.</v>
      </c>
    </row>
    <row r="1271" spans="1:9" x14ac:dyDescent="0.2">
      <c r="A1271" s="704">
        <v>3588</v>
      </c>
      <c r="B1271" s="704">
        <v>3588</v>
      </c>
      <c r="C1271" s="704" t="s">
        <v>582</v>
      </c>
      <c r="D1271" s="704" t="s">
        <v>541</v>
      </c>
      <c r="E1271" s="704">
        <v>1</v>
      </c>
      <c r="F1271" s="704">
        <v>100</v>
      </c>
      <c r="H1271">
        <f t="shared" si="100"/>
        <v>3588</v>
      </c>
      <c r="I1271" t="str">
        <f t="shared" si="101"/>
        <v>Rest of Vic.</v>
      </c>
    </row>
    <row r="1272" spans="1:9" x14ac:dyDescent="0.2">
      <c r="A1272" s="704">
        <v>3589</v>
      </c>
      <c r="B1272" s="704">
        <v>3589</v>
      </c>
      <c r="C1272" s="704" t="s">
        <v>582</v>
      </c>
      <c r="D1272" s="704" t="s">
        <v>541</v>
      </c>
      <c r="E1272" s="704">
        <v>1</v>
      </c>
      <c r="F1272" s="704">
        <v>100</v>
      </c>
      <c r="H1272">
        <f t="shared" si="100"/>
        <v>3589</v>
      </c>
      <c r="I1272" t="str">
        <f t="shared" si="101"/>
        <v>Rest of Vic.</v>
      </c>
    </row>
    <row r="1273" spans="1:9" x14ac:dyDescent="0.2">
      <c r="A1273" s="704">
        <v>3590</v>
      </c>
      <c r="B1273" s="704">
        <v>3590</v>
      </c>
      <c r="C1273" s="704" t="s">
        <v>582</v>
      </c>
      <c r="D1273" s="704" t="s">
        <v>541</v>
      </c>
      <c r="E1273" s="704">
        <v>1</v>
      </c>
      <c r="F1273" s="704">
        <v>100</v>
      </c>
      <c r="H1273">
        <f t="shared" ref="H1273:H1336" si="102">A1273*1</f>
        <v>3590</v>
      </c>
      <c r="I1273" t="str">
        <f t="shared" ref="I1273:I1336" si="103">D1273</f>
        <v>Rest of Vic.</v>
      </c>
    </row>
    <row r="1274" spans="1:9" x14ac:dyDescent="0.2">
      <c r="A1274" s="704">
        <v>3591</v>
      </c>
      <c r="B1274" s="704">
        <v>3591</v>
      </c>
      <c r="C1274" s="704" t="s">
        <v>582</v>
      </c>
      <c r="D1274" s="704" t="s">
        <v>541</v>
      </c>
      <c r="E1274" s="704">
        <v>1</v>
      </c>
      <c r="F1274" s="704">
        <v>100</v>
      </c>
      <c r="H1274">
        <f t="shared" si="102"/>
        <v>3591</v>
      </c>
      <c r="I1274" t="str">
        <f t="shared" si="103"/>
        <v>Rest of Vic.</v>
      </c>
    </row>
    <row r="1275" spans="1:9" x14ac:dyDescent="0.2">
      <c r="A1275" s="704">
        <v>3594</v>
      </c>
      <c r="B1275" s="704">
        <v>3594</v>
      </c>
      <c r="C1275" s="704" t="s">
        <v>582</v>
      </c>
      <c r="D1275" s="704" t="s">
        <v>541</v>
      </c>
      <c r="E1275" s="704">
        <v>1</v>
      </c>
      <c r="F1275" s="704">
        <v>100</v>
      </c>
      <c r="H1275">
        <f t="shared" si="102"/>
        <v>3594</v>
      </c>
      <c r="I1275" t="str">
        <f t="shared" si="103"/>
        <v>Rest of Vic.</v>
      </c>
    </row>
    <row r="1276" spans="1:9" x14ac:dyDescent="0.2">
      <c r="A1276" s="704">
        <v>3595</v>
      </c>
      <c r="B1276" s="704">
        <v>3595</v>
      </c>
      <c r="C1276" s="704" t="s">
        <v>582</v>
      </c>
      <c r="D1276" s="704" t="s">
        <v>541</v>
      </c>
      <c r="E1276" s="704">
        <v>1</v>
      </c>
      <c r="F1276" s="704">
        <v>100</v>
      </c>
      <c r="H1276">
        <f t="shared" si="102"/>
        <v>3595</v>
      </c>
      <c r="I1276" t="str">
        <f t="shared" si="103"/>
        <v>Rest of Vic.</v>
      </c>
    </row>
    <row r="1277" spans="1:9" x14ac:dyDescent="0.2">
      <c r="A1277" s="704">
        <v>3596</v>
      </c>
      <c r="B1277" s="704">
        <v>3596</v>
      </c>
      <c r="C1277" s="704" t="s">
        <v>582</v>
      </c>
      <c r="D1277" s="704" t="s">
        <v>541</v>
      </c>
      <c r="E1277" s="704">
        <v>1</v>
      </c>
      <c r="F1277" s="704">
        <v>100</v>
      </c>
      <c r="H1277">
        <f t="shared" si="102"/>
        <v>3596</v>
      </c>
      <c r="I1277" t="str">
        <f t="shared" si="103"/>
        <v>Rest of Vic.</v>
      </c>
    </row>
    <row r="1278" spans="1:9" x14ac:dyDescent="0.2">
      <c r="A1278" s="704">
        <v>3597</v>
      </c>
      <c r="B1278" s="704">
        <v>3597</v>
      </c>
      <c r="C1278" s="704" t="s">
        <v>578</v>
      </c>
      <c r="D1278" s="704" t="s">
        <v>530</v>
      </c>
      <c r="E1278" s="704">
        <v>4.1980000000000001E-4</v>
      </c>
      <c r="F1278" s="704">
        <v>4.1976899999999998E-2</v>
      </c>
      <c r="H1278">
        <f t="shared" si="102"/>
        <v>3597</v>
      </c>
      <c r="I1278" t="str">
        <f t="shared" si="103"/>
        <v>Rest of NSW</v>
      </c>
    </row>
    <row r="1279" spans="1:9" x14ac:dyDescent="0.2">
      <c r="A1279" s="704">
        <v>3597</v>
      </c>
      <c r="B1279" s="704">
        <v>3597</v>
      </c>
      <c r="C1279" s="704" t="s">
        <v>582</v>
      </c>
      <c r="D1279" s="704" t="s">
        <v>541</v>
      </c>
      <c r="E1279" s="704">
        <v>0.99958000000000002</v>
      </c>
      <c r="F1279" s="704">
        <v>99.957999999999998</v>
      </c>
      <c r="H1279">
        <f t="shared" si="102"/>
        <v>3597</v>
      </c>
      <c r="I1279" t="str">
        <f t="shared" si="103"/>
        <v>Rest of Vic.</v>
      </c>
    </row>
    <row r="1280" spans="1:9" x14ac:dyDescent="0.2">
      <c r="A1280" s="704">
        <v>3599</v>
      </c>
      <c r="B1280" s="704">
        <v>3599</v>
      </c>
      <c r="C1280" s="704" t="s">
        <v>582</v>
      </c>
      <c r="D1280" s="704" t="s">
        <v>541</v>
      </c>
      <c r="E1280" s="704">
        <v>1</v>
      </c>
      <c r="F1280" s="704">
        <v>100</v>
      </c>
      <c r="H1280">
        <f t="shared" si="102"/>
        <v>3599</v>
      </c>
      <c r="I1280" t="str">
        <f t="shared" si="103"/>
        <v>Rest of Vic.</v>
      </c>
    </row>
    <row r="1281" spans="1:9" x14ac:dyDescent="0.2">
      <c r="A1281" s="704">
        <v>3607</v>
      </c>
      <c r="B1281" s="704">
        <v>3607</v>
      </c>
      <c r="C1281" s="704" t="s">
        <v>582</v>
      </c>
      <c r="D1281" s="704" t="s">
        <v>541</v>
      </c>
      <c r="E1281" s="704">
        <v>1</v>
      </c>
      <c r="F1281" s="704">
        <v>100</v>
      </c>
      <c r="H1281">
        <f t="shared" si="102"/>
        <v>3607</v>
      </c>
      <c r="I1281" t="str">
        <f t="shared" si="103"/>
        <v>Rest of Vic.</v>
      </c>
    </row>
    <row r="1282" spans="1:9" x14ac:dyDescent="0.2">
      <c r="A1282" s="704">
        <v>3608</v>
      </c>
      <c r="B1282" s="704">
        <v>3608</v>
      </c>
      <c r="C1282" s="704" t="s">
        <v>582</v>
      </c>
      <c r="D1282" s="704" t="s">
        <v>541</v>
      </c>
      <c r="E1282" s="704">
        <v>1</v>
      </c>
      <c r="F1282" s="704">
        <v>100</v>
      </c>
      <c r="H1282">
        <f t="shared" si="102"/>
        <v>3608</v>
      </c>
      <c r="I1282" t="str">
        <f t="shared" si="103"/>
        <v>Rest of Vic.</v>
      </c>
    </row>
    <row r="1283" spans="1:9" x14ac:dyDescent="0.2">
      <c r="A1283" s="704">
        <v>3610</v>
      </c>
      <c r="B1283" s="704">
        <v>3610</v>
      </c>
      <c r="C1283" s="704" t="s">
        <v>582</v>
      </c>
      <c r="D1283" s="704" t="s">
        <v>541</v>
      </c>
      <c r="E1283" s="704">
        <v>1</v>
      </c>
      <c r="F1283" s="704">
        <v>100</v>
      </c>
      <c r="H1283">
        <f t="shared" si="102"/>
        <v>3610</v>
      </c>
      <c r="I1283" t="str">
        <f t="shared" si="103"/>
        <v>Rest of Vic.</v>
      </c>
    </row>
    <row r="1284" spans="1:9" x14ac:dyDescent="0.2">
      <c r="A1284" s="704">
        <v>3612</v>
      </c>
      <c r="B1284" s="704">
        <v>3612</v>
      </c>
      <c r="C1284" s="704" t="s">
        <v>582</v>
      </c>
      <c r="D1284" s="704" t="s">
        <v>541</v>
      </c>
      <c r="E1284" s="704">
        <v>1</v>
      </c>
      <c r="F1284" s="704">
        <v>100</v>
      </c>
      <c r="H1284">
        <f t="shared" si="102"/>
        <v>3612</v>
      </c>
      <c r="I1284" t="str">
        <f t="shared" si="103"/>
        <v>Rest of Vic.</v>
      </c>
    </row>
    <row r="1285" spans="1:9" x14ac:dyDescent="0.2">
      <c r="A1285" s="704">
        <v>3614</v>
      </c>
      <c r="B1285" s="704">
        <v>3614</v>
      </c>
      <c r="C1285" s="704" t="s">
        <v>582</v>
      </c>
      <c r="D1285" s="704" t="s">
        <v>541</v>
      </c>
      <c r="E1285" s="704">
        <v>1</v>
      </c>
      <c r="F1285" s="704">
        <v>100</v>
      </c>
      <c r="H1285">
        <f t="shared" si="102"/>
        <v>3614</v>
      </c>
      <c r="I1285" t="str">
        <f t="shared" si="103"/>
        <v>Rest of Vic.</v>
      </c>
    </row>
    <row r="1286" spans="1:9" x14ac:dyDescent="0.2">
      <c r="A1286" s="704">
        <v>3616</v>
      </c>
      <c r="B1286" s="704">
        <v>3616</v>
      </c>
      <c r="C1286" s="704" t="s">
        <v>582</v>
      </c>
      <c r="D1286" s="704" t="s">
        <v>541</v>
      </c>
      <c r="E1286" s="704">
        <v>1</v>
      </c>
      <c r="F1286" s="704">
        <v>100</v>
      </c>
      <c r="H1286">
        <f t="shared" si="102"/>
        <v>3616</v>
      </c>
      <c r="I1286" t="str">
        <f t="shared" si="103"/>
        <v>Rest of Vic.</v>
      </c>
    </row>
    <row r="1287" spans="1:9" x14ac:dyDescent="0.2">
      <c r="A1287" s="704">
        <v>3617</v>
      </c>
      <c r="B1287" s="704">
        <v>3617</v>
      </c>
      <c r="C1287" s="704" t="s">
        <v>582</v>
      </c>
      <c r="D1287" s="704" t="s">
        <v>541</v>
      </c>
      <c r="E1287" s="704">
        <v>1</v>
      </c>
      <c r="F1287" s="704">
        <v>100</v>
      </c>
      <c r="H1287">
        <f t="shared" si="102"/>
        <v>3617</v>
      </c>
      <c r="I1287" t="str">
        <f t="shared" si="103"/>
        <v>Rest of Vic.</v>
      </c>
    </row>
    <row r="1288" spans="1:9" x14ac:dyDescent="0.2">
      <c r="A1288" s="704">
        <v>3618</v>
      </c>
      <c r="B1288" s="704">
        <v>3618</v>
      </c>
      <c r="C1288" s="704" t="s">
        <v>582</v>
      </c>
      <c r="D1288" s="704" t="s">
        <v>541</v>
      </c>
      <c r="E1288" s="704">
        <v>1</v>
      </c>
      <c r="F1288" s="704">
        <v>100</v>
      </c>
      <c r="H1288">
        <f t="shared" si="102"/>
        <v>3618</v>
      </c>
      <c r="I1288" t="str">
        <f t="shared" si="103"/>
        <v>Rest of Vic.</v>
      </c>
    </row>
    <row r="1289" spans="1:9" x14ac:dyDescent="0.2">
      <c r="A1289" s="704">
        <v>3620</v>
      </c>
      <c r="B1289" s="704">
        <v>3620</v>
      </c>
      <c r="C1289" s="704" t="s">
        <v>582</v>
      </c>
      <c r="D1289" s="704" t="s">
        <v>541</v>
      </c>
      <c r="E1289" s="704">
        <v>1</v>
      </c>
      <c r="F1289" s="704">
        <v>100</v>
      </c>
      <c r="H1289">
        <f t="shared" si="102"/>
        <v>3620</v>
      </c>
      <c r="I1289" t="str">
        <f t="shared" si="103"/>
        <v>Rest of Vic.</v>
      </c>
    </row>
    <row r="1290" spans="1:9" x14ac:dyDescent="0.2">
      <c r="A1290" s="704">
        <v>3621</v>
      </c>
      <c r="B1290" s="704">
        <v>3621</v>
      </c>
      <c r="C1290" s="704" t="s">
        <v>582</v>
      </c>
      <c r="D1290" s="704" t="s">
        <v>541</v>
      </c>
      <c r="E1290" s="704">
        <v>1</v>
      </c>
      <c r="F1290" s="704">
        <v>100</v>
      </c>
      <c r="H1290">
        <f t="shared" si="102"/>
        <v>3621</v>
      </c>
      <c r="I1290" t="str">
        <f t="shared" si="103"/>
        <v>Rest of Vic.</v>
      </c>
    </row>
    <row r="1291" spans="1:9" x14ac:dyDescent="0.2">
      <c r="A1291" s="704">
        <v>3622</v>
      </c>
      <c r="B1291" s="704">
        <v>3622</v>
      </c>
      <c r="C1291" s="704" t="s">
        <v>582</v>
      </c>
      <c r="D1291" s="704" t="s">
        <v>541</v>
      </c>
      <c r="E1291" s="704">
        <v>1</v>
      </c>
      <c r="F1291" s="704">
        <v>100</v>
      </c>
      <c r="H1291">
        <f t="shared" si="102"/>
        <v>3622</v>
      </c>
      <c r="I1291" t="str">
        <f t="shared" si="103"/>
        <v>Rest of Vic.</v>
      </c>
    </row>
    <row r="1292" spans="1:9" x14ac:dyDescent="0.2">
      <c r="A1292" s="704">
        <v>3623</v>
      </c>
      <c r="B1292" s="704">
        <v>3623</v>
      </c>
      <c r="C1292" s="704" t="s">
        <v>582</v>
      </c>
      <c r="D1292" s="704" t="s">
        <v>541</v>
      </c>
      <c r="E1292" s="704">
        <v>1</v>
      </c>
      <c r="F1292" s="704">
        <v>100</v>
      </c>
      <c r="H1292">
        <f t="shared" si="102"/>
        <v>3623</v>
      </c>
      <c r="I1292" t="str">
        <f t="shared" si="103"/>
        <v>Rest of Vic.</v>
      </c>
    </row>
    <row r="1293" spans="1:9" x14ac:dyDescent="0.2">
      <c r="A1293" s="704">
        <v>3624</v>
      </c>
      <c r="B1293" s="704">
        <v>3624</v>
      </c>
      <c r="C1293" s="704" t="s">
        <v>582</v>
      </c>
      <c r="D1293" s="704" t="s">
        <v>541</v>
      </c>
      <c r="E1293" s="704">
        <v>1</v>
      </c>
      <c r="F1293" s="704">
        <v>100</v>
      </c>
      <c r="H1293">
        <f t="shared" si="102"/>
        <v>3624</v>
      </c>
      <c r="I1293" t="str">
        <f t="shared" si="103"/>
        <v>Rest of Vic.</v>
      </c>
    </row>
    <row r="1294" spans="1:9" x14ac:dyDescent="0.2">
      <c r="A1294" s="704">
        <v>3629</v>
      </c>
      <c r="B1294" s="704">
        <v>3629</v>
      </c>
      <c r="C1294" s="704" t="s">
        <v>582</v>
      </c>
      <c r="D1294" s="704" t="s">
        <v>541</v>
      </c>
      <c r="E1294" s="704">
        <v>1</v>
      </c>
      <c r="F1294" s="704">
        <v>100</v>
      </c>
      <c r="H1294">
        <f t="shared" si="102"/>
        <v>3629</v>
      </c>
      <c r="I1294" t="str">
        <f t="shared" si="103"/>
        <v>Rest of Vic.</v>
      </c>
    </row>
    <row r="1295" spans="1:9" x14ac:dyDescent="0.2">
      <c r="A1295" s="704">
        <v>3630</v>
      </c>
      <c r="B1295" s="704">
        <v>3630</v>
      </c>
      <c r="C1295" s="704" t="s">
        <v>582</v>
      </c>
      <c r="D1295" s="704" t="s">
        <v>541</v>
      </c>
      <c r="E1295" s="704">
        <v>1</v>
      </c>
      <c r="F1295" s="704">
        <v>100</v>
      </c>
      <c r="H1295">
        <f t="shared" si="102"/>
        <v>3630</v>
      </c>
      <c r="I1295" t="str">
        <f t="shared" si="103"/>
        <v>Rest of Vic.</v>
      </c>
    </row>
    <row r="1296" spans="1:9" x14ac:dyDescent="0.2">
      <c r="A1296" s="704">
        <v>3631</v>
      </c>
      <c r="B1296" s="704">
        <v>3631</v>
      </c>
      <c r="C1296" s="704" t="s">
        <v>582</v>
      </c>
      <c r="D1296" s="704" t="s">
        <v>541</v>
      </c>
      <c r="E1296" s="704">
        <v>1</v>
      </c>
      <c r="F1296" s="704">
        <v>100</v>
      </c>
      <c r="H1296">
        <f t="shared" si="102"/>
        <v>3631</v>
      </c>
      <c r="I1296" t="str">
        <f t="shared" si="103"/>
        <v>Rest of Vic.</v>
      </c>
    </row>
    <row r="1297" spans="1:9" x14ac:dyDescent="0.2">
      <c r="A1297" s="704">
        <v>3633</v>
      </c>
      <c r="B1297" s="704">
        <v>3633</v>
      </c>
      <c r="C1297" s="704" t="s">
        <v>582</v>
      </c>
      <c r="D1297" s="704" t="s">
        <v>541</v>
      </c>
      <c r="E1297" s="704">
        <v>1</v>
      </c>
      <c r="F1297" s="704">
        <v>100</v>
      </c>
      <c r="H1297">
        <f t="shared" si="102"/>
        <v>3633</v>
      </c>
      <c r="I1297" t="str">
        <f t="shared" si="103"/>
        <v>Rest of Vic.</v>
      </c>
    </row>
    <row r="1298" spans="1:9" x14ac:dyDescent="0.2">
      <c r="A1298" s="704">
        <v>3634</v>
      </c>
      <c r="B1298" s="704">
        <v>3634</v>
      </c>
      <c r="C1298" s="704" t="s">
        <v>582</v>
      </c>
      <c r="D1298" s="704" t="s">
        <v>541</v>
      </c>
      <c r="E1298" s="704">
        <v>1</v>
      </c>
      <c r="F1298" s="704">
        <v>100</v>
      </c>
      <c r="H1298">
        <f t="shared" si="102"/>
        <v>3634</v>
      </c>
      <c r="I1298" t="str">
        <f t="shared" si="103"/>
        <v>Rest of Vic.</v>
      </c>
    </row>
    <row r="1299" spans="1:9" x14ac:dyDescent="0.2">
      <c r="A1299" s="704">
        <v>3635</v>
      </c>
      <c r="B1299" s="704">
        <v>3635</v>
      </c>
      <c r="C1299" s="704" t="s">
        <v>582</v>
      </c>
      <c r="D1299" s="704" t="s">
        <v>541</v>
      </c>
      <c r="E1299" s="704">
        <v>1</v>
      </c>
      <c r="F1299" s="704">
        <v>100</v>
      </c>
      <c r="H1299">
        <f t="shared" si="102"/>
        <v>3635</v>
      </c>
      <c r="I1299" t="str">
        <f t="shared" si="103"/>
        <v>Rest of Vic.</v>
      </c>
    </row>
    <row r="1300" spans="1:9" x14ac:dyDescent="0.2">
      <c r="A1300" s="704">
        <v>3636</v>
      </c>
      <c r="B1300" s="704">
        <v>3636</v>
      </c>
      <c r="C1300" s="704" t="s">
        <v>582</v>
      </c>
      <c r="D1300" s="704" t="s">
        <v>541</v>
      </c>
      <c r="E1300" s="704">
        <v>1</v>
      </c>
      <c r="F1300" s="704">
        <v>100</v>
      </c>
      <c r="H1300">
        <f t="shared" si="102"/>
        <v>3636</v>
      </c>
      <c r="I1300" t="str">
        <f t="shared" si="103"/>
        <v>Rest of Vic.</v>
      </c>
    </row>
    <row r="1301" spans="1:9" x14ac:dyDescent="0.2">
      <c r="A1301" s="704">
        <v>3637</v>
      </c>
      <c r="B1301" s="704">
        <v>3637</v>
      </c>
      <c r="C1301" s="704" t="s">
        <v>582</v>
      </c>
      <c r="D1301" s="704" t="s">
        <v>541</v>
      </c>
      <c r="E1301" s="704">
        <v>1</v>
      </c>
      <c r="F1301" s="704">
        <v>100</v>
      </c>
      <c r="H1301">
        <f t="shared" si="102"/>
        <v>3637</v>
      </c>
      <c r="I1301" t="str">
        <f t="shared" si="103"/>
        <v>Rest of Vic.</v>
      </c>
    </row>
    <row r="1302" spans="1:9" x14ac:dyDescent="0.2">
      <c r="A1302" s="704">
        <v>3638</v>
      </c>
      <c r="B1302" s="704">
        <v>3638</v>
      </c>
      <c r="C1302" s="704" t="s">
        <v>582</v>
      </c>
      <c r="D1302" s="704" t="s">
        <v>541</v>
      </c>
      <c r="E1302" s="704">
        <v>1</v>
      </c>
      <c r="F1302" s="704">
        <v>100</v>
      </c>
      <c r="H1302">
        <f t="shared" si="102"/>
        <v>3638</v>
      </c>
      <c r="I1302" t="str">
        <f t="shared" si="103"/>
        <v>Rest of Vic.</v>
      </c>
    </row>
    <row r="1303" spans="1:9" x14ac:dyDescent="0.2">
      <c r="A1303" s="704">
        <v>3639</v>
      </c>
      <c r="B1303" s="704">
        <v>3639</v>
      </c>
      <c r="C1303" s="704" t="s">
        <v>578</v>
      </c>
      <c r="D1303" s="704" t="s">
        <v>530</v>
      </c>
      <c r="E1303" s="704">
        <v>1.8031999999999999E-2</v>
      </c>
      <c r="F1303" s="704">
        <v>1.8031999999999999</v>
      </c>
      <c r="H1303">
        <f t="shared" si="102"/>
        <v>3639</v>
      </c>
      <c r="I1303" t="str">
        <f t="shared" si="103"/>
        <v>Rest of NSW</v>
      </c>
    </row>
    <row r="1304" spans="1:9" x14ac:dyDescent="0.2">
      <c r="A1304" s="704">
        <v>3639</v>
      </c>
      <c r="B1304" s="704">
        <v>3639</v>
      </c>
      <c r="C1304" s="704" t="s">
        <v>582</v>
      </c>
      <c r="D1304" s="704" t="s">
        <v>541</v>
      </c>
      <c r="E1304" s="704">
        <v>0.98196799999999995</v>
      </c>
      <c r="F1304" s="704">
        <v>98.196799999999996</v>
      </c>
      <c r="H1304">
        <f t="shared" si="102"/>
        <v>3639</v>
      </c>
      <c r="I1304" t="str">
        <f t="shared" si="103"/>
        <v>Rest of Vic.</v>
      </c>
    </row>
    <row r="1305" spans="1:9" x14ac:dyDescent="0.2">
      <c r="A1305" s="704">
        <v>3640</v>
      </c>
      <c r="B1305" s="704">
        <v>3640</v>
      </c>
      <c r="C1305" s="704" t="s">
        <v>582</v>
      </c>
      <c r="D1305" s="704" t="s">
        <v>541</v>
      </c>
      <c r="E1305" s="704">
        <v>1</v>
      </c>
      <c r="F1305" s="704">
        <v>100</v>
      </c>
      <c r="H1305">
        <f t="shared" si="102"/>
        <v>3640</v>
      </c>
      <c r="I1305" t="str">
        <f t="shared" si="103"/>
        <v>Rest of Vic.</v>
      </c>
    </row>
    <row r="1306" spans="1:9" x14ac:dyDescent="0.2">
      <c r="A1306" s="704">
        <v>3641</v>
      </c>
      <c r="B1306" s="704">
        <v>3641</v>
      </c>
      <c r="C1306" s="704" t="s">
        <v>582</v>
      </c>
      <c r="D1306" s="704" t="s">
        <v>541</v>
      </c>
      <c r="E1306" s="704">
        <v>1</v>
      </c>
      <c r="F1306" s="704">
        <v>100</v>
      </c>
      <c r="H1306">
        <f t="shared" si="102"/>
        <v>3641</v>
      </c>
      <c r="I1306" t="str">
        <f t="shared" si="103"/>
        <v>Rest of Vic.</v>
      </c>
    </row>
    <row r="1307" spans="1:9" x14ac:dyDescent="0.2">
      <c r="A1307" s="704">
        <v>3644</v>
      </c>
      <c r="B1307" s="704">
        <v>3644</v>
      </c>
      <c r="C1307" s="704" t="s">
        <v>578</v>
      </c>
      <c r="D1307" s="704" t="s">
        <v>530</v>
      </c>
      <c r="E1307" s="704">
        <v>0.197355</v>
      </c>
      <c r="F1307" s="704">
        <v>19.735499999999998</v>
      </c>
      <c r="H1307">
        <f t="shared" si="102"/>
        <v>3644</v>
      </c>
      <c r="I1307" t="str">
        <f t="shared" si="103"/>
        <v>Rest of NSW</v>
      </c>
    </row>
    <row r="1308" spans="1:9" x14ac:dyDescent="0.2">
      <c r="A1308" s="704">
        <v>3644</v>
      </c>
      <c r="B1308" s="704">
        <v>3644</v>
      </c>
      <c r="C1308" s="704" t="s">
        <v>582</v>
      </c>
      <c r="D1308" s="704" t="s">
        <v>541</v>
      </c>
      <c r="E1308" s="704">
        <v>0.80264500000000005</v>
      </c>
      <c r="F1308" s="704">
        <v>80.264499999999998</v>
      </c>
      <c r="H1308">
        <f t="shared" si="102"/>
        <v>3644</v>
      </c>
      <c r="I1308" t="str">
        <f t="shared" si="103"/>
        <v>Rest of Vic.</v>
      </c>
    </row>
    <row r="1309" spans="1:9" x14ac:dyDescent="0.2">
      <c r="A1309" s="704">
        <v>3646</v>
      </c>
      <c r="B1309" s="704">
        <v>3646</v>
      </c>
      <c r="C1309" s="704" t="s">
        <v>582</v>
      </c>
      <c r="D1309" s="704" t="s">
        <v>541</v>
      </c>
      <c r="E1309" s="704">
        <v>1</v>
      </c>
      <c r="F1309" s="704">
        <v>100</v>
      </c>
      <c r="H1309">
        <f t="shared" si="102"/>
        <v>3646</v>
      </c>
      <c r="I1309" t="str">
        <f t="shared" si="103"/>
        <v>Rest of Vic.</v>
      </c>
    </row>
    <row r="1310" spans="1:9" x14ac:dyDescent="0.2">
      <c r="A1310" s="704">
        <v>3647</v>
      </c>
      <c r="B1310" s="704">
        <v>3647</v>
      </c>
      <c r="C1310" s="704" t="s">
        <v>582</v>
      </c>
      <c r="D1310" s="704" t="s">
        <v>541</v>
      </c>
      <c r="E1310" s="704">
        <v>1</v>
      </c>
      <c r="F1310" s="704">
        <v>100</v>
      </c>
      <c r="H1310">
        <f t="shared" si="102"/>
        <v>3647</v>
      </c>
      <c r="I1310" t="str">
        <f t="shared" si="103"/>
        <v>Rest of Vic.</v>
      </c>
    </row>
    <row r="1311" spans="1:9" x14ac:dyDescent="0.2">
      <c r="A1311" s="704">
        <v>3649</v>
      </c>
      <c r="B1311" s="704">
        <v>3649</v>
      </c>
      <c r="C1311" s="704" t="s">
        <v>582</v>
      </c>
      <c r="D1311" s="704" t="s">
        <v>541</v>
      </c>
      <c r="E1311" s="704">
        <v>1</v>
      </c>
      <c r="F1311" s="704">
        <v>100</v>
      </c>
      <c r="H1311">
        <f t="shared" si="102"/>
        <v>3649</v>
      </c>
      <c r="I1311" t="str">
        <f t="shared" si="103"/>
        <v>Rest of Vic.</v>
      </c>
    </row>
    <row r="1312" spans="1:9" x14ac:dyDescent="0.2">
      <c r="A1312" s="704">
        <v>3658</v>
      </c>
      <c r="B1312" s="704">
        <v>3658</v>
      </c>
      <c r="C1312" s="704" t="s">
        <v>583</v>
      </c>
      <c r="D1312" s="704" t="s">
        <v>544</v>
      </c>
      <c r="E1312" s="704">
        <v>8.6266300000000004E-2</v>
      </c>
      <c r="F1312" s="704">
        <v>8.6266300000000005</v>
      </c>
      <c r="H1312">
        <f t="shared" si="102"/>
        <v>3658</v>
      </c>
      <c r="I1312" t="str">
        <f t="shared" si="103"/>
        <v>Greater Melbourne</v>
      </c>
    </row>
    <row r="1313" spans="1:9" x14ac:dyDescent="0.2">
      <c r="A1313" s="704">
        <v>3658</v>
      </c>
      <c r="B1313" s="704">
        <v>3658</v>
      </c>
      <c r="C1313" s="704" t="s">
        <v>582</v>
      </c>
      <c r="D1313" s="704" t="s">
        <v>541</v>
      </c>
      <c r="E1313" s="704">
        <v>0.91373400000000005</v>
      </c>
      <c r="F1313" s="704">
        <v>91.373400000000004</v>
      </c>
      <c r="H1313">
        <f t="shared" si="102"/>
        <v>3658</v>
      </c>
      <c r="I1313" t="str">
        <f t="shared" si="103"/>
        <v>Rest of Vic.</v>
      </c>
    </row>
    <row r="1314" spans="1:9" x14ac:dyDescent="0.2">
      <c r="A1314" s="704">
        <v>3659</v>
      </c>
      <c r="B1314" s="704">
        <v>3659</v>
      </c>
      <c r="C1314" s="704" t="s">
        <v>582</v>
      </c>
      <c r="D1314" s="704" t="s">
        <v>541</v>
      </c>
      <c r="E1314" s="704">
        <v>1</v>
      </c>
      <c r="F1314" s="704">
        <v>100</v>
      </c>
      <c r="H1314">
        <f t="shared" si="102"/>
        <v>3659</v>
      </c>
      <c r="I1314" t="str">
        <f t="shared" si="103"/>
        <v>Rest of Vic.</v>
      </c>
    </row>
    <row r="1315" spans="1:9" x14ac:dyDescent="0.2">
      <c r="A1315" s="704">
        <v>3660</v>
      </c>
      <c r="B1315" s="704">
        <v>3660</v>
      </c>
      <c r="C1315" s="704" t="s">
        <v>582</v>
      </c>
      <c r="D1315" s="704" t="s">
        <v>541</v>
      </c>
      <c r="E1315" s="704">
        <v>1</v>
      </c>
      <c r="F1315" s="704">
        <v>100</v>
      </c>
      <c r="H1315">
        <f t="shared" si="102"/>
        <v>3660</v>
      </c>
      <c r="I1315" t="str">
        <f t="shared" si="103"/>
        <v>Rest of Vic.</v>
      </c>
    </row>
    <row r="1316" spans="1:9" x14ac:dyDescent="0.2">
      <c r="A1316" s="704">
        <v>3662</v>
      </c>
      <c r="B1316" s="704">
        <v>3662</v>
      </c>
      <c r="C1316" s="704" t="s">
        <v>582</v>
      </c>
      <c r="D1316" s="704" t="s">
        <v>541</v>
      </c>
      <c r="E1316" s="704">
        <v>1</v>
      </c>
      <c r="F1316" s="704">
        <v>100</v>
      </c>
      <c r="H1316">
        <f t="shared" si="102"/>
        <v>3662</v>
      </c>
      <c r="I1316" t="str">
        <f t="shared" si="103"/>
        <v>Rest of Vic.</v>
      </c>
    </row>
    <row r="1317" spans="1:9" x14ac:dyDescent="0.2">
      <c r="A1317" s="704">
        <v>3663</v>
      </c>
      <c r="B1317" s="704">
        <v>3663</v>
      </c>
      <c r="C1317" s="704" t="s">
        <v>582</v>
      </c>
      <c r="D1317" s="704" t="s">
        <v>541</v>
      </c>
      <c r="E1317" s="704">
        <v>1</v>
      </c>
      <c r="F1317" s="704">
        <v>100</v>
      </c>
      <c r="H1317">
        <f t="shared" si="102"/>
        <v>3663</v>
      </c>
      <c r="I1317" t="str">
        <f t="shared" si="103"/>
        <v>Rest of Vic.</v>
      </c>
    </row>
    <row r="1318" spans="1:9" x14ac:dyDescent="0.2">
      <c r="A1318" s="704">
        <v>3664</v>
      </c>
      <c r="B1318" s="704">
        <v>3664</v>
      </c>
      <c r="C1318" s="704" t="s">
        <v>582</v>
      </c>
      <c r="D1318" s="704" t="s">
        <v>541</v>
      </c>
      <c r="E1318" s="704">
        <v>1</v>
      </c>
      <c r="F1318" s="704">
        <v>100</v>
      </c>
      <c r="H1318">
        <f t="shared" si="102"/>
        <v>3664</v>
      </c>
      <c r="I1318" t="str">
        <f t="shared" si="103"/>
        <v>Rest of Vic.</v>
      </c>
    </row>
    <row r="1319" spans="1:9" x14ac:dyDescent="0.2">
      <c r="A1319" s="704">
        <v>3665</v>
      </c>
      <c r="B1319" s="704">
        <v>3665</v>
      </c>
      <c r="C1319" s="704" t="s">
        <v>582</v>
      </c>
      <c r="D1319" s="704" t="s">
        <v>541</v>
      </c>
      <c r="E1319" s="704">
        <v>1</v>
      </c>
      <c r="F1319" s="704">
        <v>100</v>
      </c>
      <c r="H1319">
        <f t="shared" si="102"/>
        <v>3665</v>
      </c>
      <c r="I1319" t="str">
        <f t="shared" si="103"/>
        <v>Rest of Vic.</v>
      </c>
    </row>
    <row r="1320" spans="1:9" x14ac:dyDescent="0.2">
      <c r="A1320" s="704">
        <v>3666</v>
      </c>
      <c r="B1320" s="704">
        <v>3666</v>
      </c>
      <c r="C1320" s="704" t="s">
        <v>582</v>
      </c>
      <c r="D1320" s="704" t="s">
        <v>541</v>
      </c>
      <c r="E1320" s="704">
        <v>1</v>
      </c>
      <c r="F1320" s="704">
        <v>100</v>
      </c>
      <c r="H1320">
        <f t="shared" si="102"/>
        <v>3666</v>
      </c>
      <c r="I1320" t="str">
        <f t="shared" si="103"/>
        <v>Rest of Vic.</v>
      </c>
    </row>
    <row r="1321" spans="1:9" x14ac:dyDescent="0.2">
      <c r="A1321" s="704">
        <v>3669</v>
      </c>
      <c r="B1321" s="704">
        <v>3669</v>
      </c>
      <c r="C1321" s="704" t="s">
        <v>582</v>
      </c>
      <c r="D1321" s="704" t="s">
        <v>541</v>
      </c>
      <c r="E1321" s="704">
        <v>1</v>
      </c>
      <c r="F1321" s="704">
        <v>100</v>
      </c>
      <c r="H1321">
        <f t="shared" si="102"/>
        <v>3669</v>
      </c>
      <c r="I1321" t="str">
        <f t="shared" si="103"/>
        <v>Rest of Vic.</v>
      </c>
    </row>
    <row r="1322" spans="1:9" x14ac:dyDescent="0.2">
      <c r="A1322" s="704">
        <v>3670</v>
      </c>
      <c r="B1322" s="704">
        <v>3670</v>
      </c>
      <c r="C1322" s="704" t="s">
        <v>582</v>
      </c>
      <c r="D1322" s="704" t="s">
        <v>541</v>
      </c>
      <c r="E1322" s="704">
        <v>1</v>
      </c>
      <c r="F1322" s="704">
        <v>100</v>
      </c>
      <c r="H1322">
        <f t="shared" si="102"/>
        <v>3670</v>
      </c>
      <c r="I1322" t="str">
        <f t="shared" si="103"/>
        <v>Rest of Vic.</v>
      </c>
    </row>
    <row r="1323" spans="1:9" x14ac:dyDescent="0.2">
      <c r="A1323" s="704">
        <v>3672</v>
      </c>
      <c r="B1323" s="704">
        <v>3672</v>
      </c>
      <c r="C1323" s="704" t="s">
        <v>582</v>
      </c>
      <c r="D1323" s="704" t="s">
        <v>541</v>
      </c>
      <c r="E1323" s="704">
        <v>1</v>
      </c>
      <c r="F1323" s="704">
        <v>100</v>
      </c>
      <c r="H1323">
        <f t="shared" si="102"/>
        <v>3672</v>
      </c>
      <c r="I1323" t="str">
        <f t="shared" si="103"/>
        <v>Rest of Vic.</v>
      </c>
    </row>
    <row r="1324" spans="1:9" x14ac:dyDescent="0.2">
      <c r="A1324" s="704">
        <v>3673</v>
      </c>
      <c r="B1324" s="704">
        <v>3673</v>
      </c>
      <c r="C1324" s="704" t="s">
        <v>582</v>
      </c>
      <c r="D1324" s="704" t="s">
        <v>541</v>
      </c>
      <c r="E1324" s="704">
        <v>1</v>
      </c>
      <c r="F1324" s="704">
        <v>100</v>
      </c>
      <c r="H1324">
        <f t="shared" si="102"/>
        <v>3673</v>
      </c>
      <c r="I1324" t="str">
        <f t="shared" si="103"/>
        <v>Rest of Vic.</v>
      </c>
    </row>
    <row r="1325" spans="1:9" x14ac:dyDescent="0.2">
      <c r="A1325" s="704">
        <v>3675</v>
      </c>
      <c r="B1325" s="704">
        <v>3675</v>
      </c>
      <c r="C1325" s="704" t="s">
        <v>582</v>
      </c>
      <c r="D1325" s="704" t="s">
        <v>541</v>
      </c>
      <c r="E1325" s="704">
        <v>1</v>
      </c>
      <c r="F1325" s="704">
        <v>100</v>
      </c>
      <c r="H1325">
        <f t="shared" si="102"/>
        <v>3675</v>
      </c>
      <c r="I1325" t="str">
        <f t="shared" si="103"/>
        <v>Rest of Vic.</v>
      </c>
    </row>
    <row r="1326" spans="1:9" x14ac:dyDescent="0.2">
      <c r="A1326" s="704">
        <v>3677</v>
      </c>
      <c r="B1326" s="704">
        <v>3677</v>
      </c>
      <c r="C1326" s="704" t="s">
        <v>582</v>
      </c>
      <c r="D1326" s="704" t="s">
        <v>541</v>
      </c>
      <c r="E1326" s="704">
        <v>1</v>
      </c>
      <c r="F1326" s="704">
        <v>100</v>
      </c>
      <c r="H1326">
        <f t="shared" si="102"/>
        <v>3677</v>
      </c>
      <c r="I1326" t="str">
        <f t="shared" si="103"/>
        <v>Rest of Vic.</v>
      </c>
    </row>
    <row r="1327" spans="1:9" x14ac:dyDescent="0.2">
      <c r="A1327" s="704">
        <v>3678</v>
      </c>
      <c r="B1327" s="704">
        <v>3678</v>
      </c>
      <c r="C1327" s="704" t="s">
        <v>582</v>
      </c>
      <c r="D1327" s="704" t="s">
        <v>541</v>
      </c>
      <c r="E1327" s="704">
        <v>1</v>
      </c>
      <c r="F1327" s="704">
        <v>100</v>
      </c>
      <c r="H1327">
        <f t="shared" si="102"/>
        <v>3678</v>
      </c>
      <c r="I1327" t="str">
        <f t="shared" si="103"/>
        <v>Rest of Vic.</v>
      </c>
    </row>
    <row r="1328" spans="1:9" x14ac:dyDescent="0.2">
      <c r="A1328" s="704">
        <v>3682</v>
      </c>
      <c r="B1328" s="704">
        <v>3682</v>
      </c>
      <c r="C1328" s="704" t="s">
        <v>582</v>
      </c>
      <c r="D1328" s="704" t="s">
        <v>541</v>
      </c>
      <c r="E1328" s="704">
        <v>1</v>
      </c>
      <c r="F1328" s="704">
        <v>100</v>
      </c>
      <c r="H1328">
        <f t="shared" si="102"/>
        <v>3682</v>
      </c>
      <c r="I1328" t="str">
        <f t="shared" si="103"/>
        <v>Rest of Vic.</v>
      </c>
    </row>
    <row r="1329" spans="1:9" x14ac:dyDescent="0.2">
      <c r="A1329" s="704">
        <v>3683</v>
      </c>
      <c r="B1329" s="704">
        <v>3683</v>
      </c>
      <c r="C1329" s="704" t="s">
        <v>582</v>
      </c>
      <c r="D1329" s="704" t="s">
        <v>541</v>
      </c>
      <c r="E1329" s="704">
        <v>1</v>
      </c>
      <c r="F1329" s="704">
        <v>100</v>
      </c>
      <c r="H1329">
        <f t="shared" si="102"/>
        <v>3683</v>
      </c>
      <c r="I1329" t="str">
        <f t="shared" si="103"/>
        <v>Rest of Vic.</v>
      </c>
    </row>
    <row r="1330" spans="1:9" x14ac:dyDescent="0.2">
      <c r="A1330" s="704">
        <v>3685</v>
      </c>
      <c r="B1330" s="704">
        <v>3685</v>
      </c>
      <c r="C1330" s="704" t="s">
        <v>582</v>
      </c>
      <c r="D1330" s="704" t="s">
        <v>541</v>
      </c>
      <c r="E1330" s="704">
        <v>1</v>
      </c>
      <c r="F1330" s="704">
        <v>100</v>
      </c>
      <c r="H1330">
        <f t="shared" si="102"/>
        <v>3685</v>
      </c>
      <c r="I1330" t="str">
        <f t="shared" si="103"/>
        <v>Rest of Vic.</v>
      </c>
    </row>
    <row r="1331" spans="1:9" x14ac:dyDescent="0.2">
      <c r="A1331" s="704">
        <v>3687</v>
      </c>
      <c r="B1331" s="704">
        <v>3687</v>
      </c>
      <c r="C1331" s="704" t="s">
        <v>578</v>
      </c>
      <c r="D1331" s="704" t="s">
        <v>530</v>
      </c>
      <c r="E1331" s="704">
        <v>6.7909999999999997E-4</v>
      </c>
      <c r="F1331" s="704">
        <v>6.79086E-2</v>
      </c>
      <c r="H1331">
        <f t="shared" si="102"/>
        <v>3687</v>
      </c>
      <c r="I1331" t="str">
        <f t="shared" si="103"/>
        <v>Rest of NSW</v>
      </c>
    </row>
    <row r="1332" spans="1:9" x14ac:dyDescent="0.2">
      <c r="A1332" s="704">
        <v>3687</v>
      </c>
      <c r="B1332" s="704">
        <v>3687</v>
      </c>
      <c r="C1332" s="704" t="s">
        <v>582</v>
      </c>
      <c r="D1332" s="704" t="s">
        <v>541</v>
      </c>
      <c r="E1332" s="704">
        <v>0.99932100000000001</v>
      </c>
      <c r="F1332" s="704">
        <v>99.932100000000005</v>
      </c>
      <c r="H1332">
        <f t="shared" si="102"/>
        <v>3687</v>
      </c>
      <c r="I1332" t="str">
        <f t="shared" si="103"/>
        <v>Rest of Vic.</v>
      </c>
    </row>
    <row r="1333" spans="1:9" x14ac:dyDescent="0.2">
      <c r="A1333" s="704">
        <v>3688</v>
      </c>
      <c r="B1333" s="704">
        <v>3688</v>
      </c>
      <c r="C1333" s="704" t="s">
        <v>582</v>
      </c>
      <c r="D1333" s="704" t="s">
        <v>541</v>
      </c>
      <c r="E1333" s="704">
        <v>1</v>
      </c>
      <c r="F1333" s="704">
        <v>100</v>
      </c>
      <c r="H1333">
        <f t="shared" si="102"/>
        <v>3688</v>
      </c>
      <c r="I1333" t="str">
        <f t="shared" si="103"/>
        <v>Rest of Vic.</v>
      </c>
    </row>
    <row r="1334" spans="1:9" x14ac:dyDescent="0.2">
      <c r="A1334" s="704">
        <v>3690</v>
      </c>
      <c r="B1334" s="704">
        <v>3690</v>
      </c>
      <c r="C1334" s="704" t="s">
        <v>582</v>
      </c>
      <c r="D1334" s="704" t="s">
        <v>541</v>
      </c>
      <c r="E1334" s="704">
        <v>0.99997000000000003</v>
      </c>
      <c r="F1334" s="704">
        <v>99.997</v>
      </c>
      <c r="H1334">
        <f t="shared" si="102"/>
        <v>3690</v>
      </c>
      <c r="I1334" t="str">
        <f t="shared" si="103"/>
        <v>Rest of Vic.</v>
      </c>
    </row>
    <row r="1335" spans="1:9" x14ac:dyDescent="0.2">
      <c r="A1335" s="704">
        <v>3691</v>
      </c>
      <c r="B1335" s="704">
        <v>3691</v>
      </c>
      <c r="C1335" s="704" t="s">
        <v>578</v>
      </c>
      <c r="D1335" s="704" t="s">
        <v>530</v>
      </c>
      <c r="E1335" s="704">
        <v>3.2234999999999998E-3</v>
      </c>
      <c r="F1335" s="704">
        <v>0.32234600000000002</v>
      </c>
      <c r="H1335">
        <f t="shared" si="102"/>
        <v>3691</v>
      </c>
      <c r="I1335" t="str">
        <f t="shared" si="103"/>
        <v>Rest of NSW</v>
      </c>
    </row>
    <row r="1336" spans="1:9" x14ac:dyDescent="0.2">
      <c r="A1336" s="704">
        <v>3691</v>
      </c>
      <c r="B1336" s="704">
        <v>3691</v>
      </c>
      <c r="C1336" s="704" t="s">
        <v>582</v>
      </c>
      <c r="D1336" s="704" t="s">
        <v>541</v>
      </c>
      <c r="E1336" s="704">
        <v>0.996776</v>
      </c>
      <c r="F1336" s="704">
        <v>99.677700000000002</v>
      </c>
      <c r="H1336">
        <f t="shared" si="102"/>
        <v>3691</v>
      </c>
      <c r="I1336" t="str">
        <f t="shared" si="103"/>
        <v>Rest of Vic.</v>
      </c>
    </row>
    <row r="1337" spans="1:9" x14ac:dyDescent="0.2">
      <c r="A1337" s="704">
        <v>3694</v>
      </c>
      <c r="B1337" s="704">
        <v>3694</v>
      </c>
      <c r="C1337" s="704" t="s">
        <v>582</v>
      </c>
      <c r="D1337" s="704" t="s">
        <v>541</v>
      </c>
      <c r="E1337" s="704">
        <v>1</v>
      </c>
      <c r="F1337" s="704">
        <v>100</v>
      </c>
      <c r="H1337">
        <f t="shared" ref="H1337:H1400" si="104">A1337*1</f>
        <v>3694</v>
      </c>
      <c r="I1337" t="str">
        <f t="shared" ref="I1337:I1400" si="105">D1337</f>
        <v>Rest of Vic.</v>
      </c>
    </row>
    <row r="1338" spans="1:9" x14ac:dyDescent="0.2">
      <c r="A1338" s="704">
        <v>3695</v>
      </c>
      <c r="B1338" s="704">
        <v>3695</v>
      </c>
      <c r="C1338" s="704" t="s">
        <v>582</v>
      </c>
      <c r="D1338" s="704" t="s">
        <v>541</v>
      </c>
      <c r="E1338" s="704">
        <v>1</v>
      </c>
      <c r="F1338" s="704">
        <v>100</v>
      </c>
      <c r="H1338">
        <f t="shared" si="104"/>
        <v>3695</v>
      </c>
      <c r="I1338" t="str">
        <f t="shared" si="105"/>
        <v>Rest of Vic.</v>
      </c>
    </row>
    <row r="1339" spans="1:9" x14ac:dyDescent="0.2">
      <c r="A1339" s="704">
        <v>3697</v>
      </c>
      <c r="B1339" s="704">
        <v>3697</v>
      </c>
      <c r="C1339" s="704" t="s">
        <v>582</v>
      </c>
      <c r="D1339" s="704" t="s">
        <v>541</v>
      </c>
      <c r="E1339" s="704">
        <v>1</v>
      </c>
      <c r="F1339" s="704">
        <v>100</v>
      </c>
      <c r="H1339">
        <f t="shared" si="104"/>
        <v>3697</v>
      </c>
      <c r="I1339" t="str">
        <f t="shared" si="105"/>
        <v>Rest of Vic.</v>
      </c>
    </row>
    <row r="1340" spans="1:9" x14ac:dyDescent="0.2">
      <c r="A1340" s="704">
        <v>3698</v>
      </c>
      <c r="B1340" s="704">
        <v>3698</v>
      </c>
      <c r="C1340" s="704" t="s">
        <v>582</v>
      </c>
      <c r="D1340" s="704" t="s">
        <v>541</v>
      </c>
      <c r="E1340" s="704">
        <v>1</v>
      </c>
      <c r="F1340" s="704">
        <v>100</v>
      </c>
      <c r="H1340">
        <f t="shared" si="104"/>
        <v>3698</v>
      </c>
      <c r="I1340" t="str">
        <f t="shared" si="105"/>
        <v>Rest of Vic.</v>
      </c>
    </row>
    <row r="1341" spans="1:9" x14ac:dyDescent="0.2">
      <c r="A1341" s="704">
        <v>3699</v>
      </c>
      <c r="B1341" s="704">
        <v>3699</v>
      </c>
      <c r="C1341" s="704" t="s">
        <v>582</v>
      </c>
      <c r="D1341" s="704" t="s">
        <v>541</v>
      </c>
      <c r="E1341" s="704">
        <v>1</v>
      </c>
      <c r="F1341" s="704">
        <v>100</v>
      </c>
      <c r="H1341">
        <f t="shared" si="104"/>
        <v>3699</v>
      </c>
      <c r="I1341" t="str">
        <f t="shared" si="105"/>
        <v>Rest of Vic.</v>
      </c>
    </row>
    <row r="1342" spans="1:9" x14ac:dyDescent="0.2">
      <c r="A1342" s="704">
        <v>3700</v>
      </c>
      <c r="B1342" s="704">
        <v>3700</v>
      </c>
      <c r="C1342" s="704" t="s">
        <v>582</v>
      </c>
      <c r="D1342" s="704" t="s">
        <v>541</v>
      </c>
      <c r="E1342" s="704">
        <v>1</v>
      </c>
      <c r="F1342" s="704">
        <v>100</v>
      </c>
      <c r="H1342">
        <f t="shared" si="104"/>
        <v>3700</v>
      </c>
      <c r="I1342" t="str">
        <f t="shared" si="105"/>
        <v>Rest of Vic.</v>
      </c>
    </row>
    <row r="1343" spans="1:9" x14ac:dyDescent="0.2">
      <c r="A1343" s="704">
        <v>3701</v>
      </c>
      <c r="B1343" s="704">
        <v>3701</v>
      </c>
      <c r="C1343" s="704" t="s">
        <v>582</v>
      </c>
      <c r="D1343" s="704" t="s">
        <v>541</v>
      </c>
      <c r="E1343" s="704">
        <v>1</v>
      </c>
      <c r="F1343" s="704">
        <v>100</v>
      </c>
      <c r="H1343">
        <f t="shared" si="104"/>
        <v>3701</v>
      </c>
      <c r="I1343" t="str">
        <f t="shared" si="105"/>
        <v>Rest of Vic.</v>
      </c>
    </row>
    <row r="1344" spans="1:9" x14ac:dyDescent="0.2">
      <c r="A1344" s="704">
        <v>3704</v>
      </c>
      <c r="B1344" s="704">
        <v>3704</v>
      </c>
      <c r="C1344" s="704" t="s">
        <v>582</v>
      </c>
      <c r="D1344" s="704" t="s">
        <v>541</v>
      </c>
      <c r="E1344" s="704">
        <v>1</v>
      </c>
      <c r="F1344" s="704">
        <v>100</v>
      </c>
      <c r="H1344">
        <f t="shared" si="104"/>
        <v>3704</v>
      </c>
      <c r="I1344" t="str">
        <f t="shared" si="105"/>
        <v>Rest of Vic.</v>
      </c>
    </row>
    <row r="1345" spans="1:9" x14ac:dyDescent="0.2">
      <c r="A1345" s="704">
        <v>3705</v>
      </c>
      <c r="B1345" s="704">
        <v>3705</v>
      </c>
      <c r="C1345" s="704" t="s">
        <v>582</v>
      </c>
      <c r="D1345" s="704" t="s">
        <v>541</v>
      </c>
      <c r="E1345" s="704">
        <v>1</v>
      </c>
      <c r="F1345" s="704">
        <v>100</v>
      </c>
      <c r="H1345">
        <f t="shared" si="104"/>
        <v>3705</v>
      </c>
      <c r="I1345" t="str">
        <f t="shared" si="105"/>
        <v>Rest of Vic.</v>
      </c>
    </row>
    <row r="1346" spans="1:9" x14ac:dyDescent="0.2">
      <c r="A1346" s="704">
        <v>3707</v>
      </c>
      <c r="B1346" s="704">
        <v>3707</v>
      </c>
      <c r="C1346" s="704" t="s">
        <v>578</v>
      </c>
      <c r="D1346" s="704" t="s">
        <v>530</v>
      </c>
      <c r="E1346" s="704">
        <v>4.2324300000000002E-2</v>
      </c>
      <c r="F1346" s="704">
        <v>4.2324299999999999</v>
      </c>
      <c r="H1346">
        <f t="shared" si="104"/>
        <v>3707</v>
      </c>
      <c r="I1346" t="str">
        <f t="shared" si="105"/>
        <v>Rest of NSW</v>
      </c>
    </row>
    <row r="1347" spans="1:9" x14ac:dyDescent="0.2">
      <c r="A1347" s="704">
        <v>3707</v>
      </c>
      <c r="B1347" s="704">
        <v>3707</v>
      </c>
      <c r="C1347" s="704" t="s">
        <v>582</v>
      </c>
      <c r="D1347" s="704" t="s">
        <v>541</v>
      </c>
      <c r="E1347" s="704">
        <v>0.95767599999999997</v>
      </c>
      <c r="F1347" s="704">
        <v>95.767600000000002</v>
      </c>
      <c r="H1347">
        <f t="shared" si="104"/>
        <v>3707</v>
      </c>
      <c r="I1347" t="str">
        <f t="shared" si="105"/>
        <v>Rest of Vic.</v>
      </c>
    </row>
    <row r="1348" spans="1:9" x14ac:dyDescent="0.2">
      <c r="A1348" s="704">
        <v>3708</v>
      </c>
      <c r="B1348" s="704">
        <v>3708</v>
      </c>
      <c r="C1348" s="704" t="s">
        <v>582</v>
      </c>
      <c r="D1348" s="704" t="s">
        <v>541</v>
      </c>
      <c r="E1348" s="704">
        <v>1</v>
      </c>
      <c r="F1348" s="704">
        <v>100</v>
      </c>
      <c r="H1348">
        <f t="shared" si="104"/>
        <v>3708</v>
      </c>
      <c r="I1348" t="str">
        <f t="shared" si="105"/>
        <v>Rest of Vic.</v>
      </c>
    </row>
    <row r="1349" spans="1:9" x14ac:dyDescent="0.2">
      <c r="A1349" s="704">
        <v>3709</v>
      </c>
      <c r="B1349" s="704">
        <v>3709</v>
      </c>
      <c r="C1349" s="704" t="s">
        <v>578</v>
      </c>
      <c r="D1349" s="704" t="s">
        <v>530</v>
      </c>
      <c r="E1349" s="704">
        <v>1.255E-3</v>
      </c>
      <c r="F1349" s="704">
        <v>0.125497</v>
      </c>
      <c r="H1349">
        <f t="shared" si="104"/>
        <v>3709</v>
      </c>
      <c r="I1349" t="str">
        <f t="shared" si="105"/>
        <v>Rest of NSW</v>
      </c>
    </row>
    <row r="1350" spans="1:9" x14ac:dyDescent="0.2">
      <c r="A1350" s="704">
        <v>3709</v>
      </c>
      <c r="B1350" s="704">
        <v>3709</v>
      </c>
      <c r="C1350" s="704" t="s">
        <v>582</v>
      </c>
      <c r="D1350" s="704" t="s">
        <v>541</v>
      </c>
      <c r="E1350" s="704">
        <v>0.99874499999999999</v>
      </c>
      <c r="F1350" s="704">
        <v>99.874499999999998</v>
      </c>
      <c r="H1350">
        <f t="shared" si="104"/>
        <v>3709</v>
      </c>
      <c r="I1350" t="str">
        <f t="shared" si="105"/>
        <v>Rest of Vic.</v>
      </c>
    </row>
    <row r="1351" spans="1:9" x14ac:dyDescent="0.2">
      <c r="A1351" s="704">
        <v>3711</v>
      </c>
      <c r="B1351" s="704">
        <v>3711</v>
      </c>
      <c r="C1351" s="704" t="s">
        <v>582</v>
      </c>
      <c r="D1351" s="704" t="s">
        <v>541</v>
      </c>
      <c r="E1351" s="704">
        <v>1</v>
      </c>
      <c r="F1351" s="704">
        <v>100</v>
      </c>
      <c r="H1351">
        <f t="shared" si="104"/>
        <v>3711</v>
      </c>
      <c r="I1351" t="str">
        <f t="shared" si="105"/>
        <v>Rest of Vic.</v>
      </c>
    </row>
    <row r="1352" spans="1:9" x14ac:dyDescent="0.2">
      <c r="A1352" s="704">
        <v>3712</v>
      </c>
      <c r="B1352" s="704">
        <v>3712</v>
      </c>
      <c r="C1352" s="704" t="s">
        <v>582</v>
      </c>
      <c r="D1352" s="704" t="s">
        <v>541</v>
      </c>
      <c r="E1352" s="704">
        <v>1</v>
      </c>
      <c r="F1352" s="704">
        <v>100</v>
      </c>
      <c r="H1352">
        <f t="shared" si="104"/>
        <v>3712</v>
      </c>
      <c r="I1352" t="str">
        <f t="shared" si="105"/>
        <v>Rest of Vic.</v>
      </c>
    </row>
    <row r="1353" spans="1:9" x14ac:dyDescent="0.2">
      <c r="A1353" s="704">
        <v>3713</v>
      </c>
      <c r="B1353" s="704">
        <v>3713</v>
      </c>
      <c r="C1353" s="704" t="s">
        <v>582</v>
      </c>
      <c r="D1353" s="704" t="s">
        <v>541</v>
      </c>
      <c r="E1353" s="704">
        <v>1</v>
      </c>
      <c r="F1353" s="704">
        <v>100</v>
      </c>
      <c r="H1353">
        <f t="shared" si="104"/>
        <v>3713</v>
      </c>
      <c r="I1353" t="str">
        <f t="shared" si="105"/>
        <v>Rest of Vic.</v>
      </c>
    </row>
    <row r="1354" spans="1:9" x14ac:dyDescent="0.2">
      <c r="A1354" s="704">
        <v>3714</v>
      </c>
      <c r="B1354" s="704">
        <v>3714</v>
      </c>
      <c r="C1354" s="704" t="s">
        <v>582</v>
      </c>
      <c r="D1354" s="704" t="s">
        <v>541</v>
      </c>
      <c r="E1354" s="704">
        <v>1</v>
      </c>
      <c r="F1354" s="704">
        <v>100</v>
      </c>
      <c r="H1354">
        <f t="shared" si="104"/>
        <v>3714</v>
      </c>
      <c r="I1354" t="str">
        <f t="shared" si="105"/>
        <v>Rest of Vic.</v>
      </c>
    </row>
    <row r="1355" spans="1:9" x14ac:dyDescent="0.2">
      <c r="A1355" s="704">
        <v>3715</v>
      </c>
      <c r="B1355" s="704">
        <v>3715</v>
      </c>
      <c r="C1355" s="704" t="s">
        <v>582</v>
      </c>
      <c r="D1355" s="704" t="s">
        <v>541</v>
      </c>
      <c r="E1355" s="704">
        <v>1</v>
      </c>
      <c r="F1355" s="704">
        <v>100</v>
      </c>
      <c r="H1355">
        <f t="shared" si="104"/>
        <v>3715</v>
      </c>
      <c r="I1355" t="str">
        <f t="shared" si="105"/>
        <v>Rest of Vic.</v>
      </c>
    </row>
    <row r="1356" spans="1:9" x14ac:dyDescent="0.2">
      <c r="A1356" s="704">
        <v>3717</v>
      </c>
      <c r="B1356" s="704">
        <v>3717</v>
      </c>
      <c r="C1356" s="704" t="s">
        <v>583</v>
      </c>
      <c r="D1356" s="704" t="s">
        <v>544</v>
      </c>
      <c r="E1356" s="704">
        <v>1.0001999999999999E-3</v>
      </c>
      <c r="F1356" s="704">
        <v>0.100021</v>
      </c>
      <c r="H1356">
        <f t="shared" si="104"/>
        <v>3717</v>
      </c>
      <c r="I1356" t="str">
        <f t="shared" si="105"/>
        <v>Greater Melbourne</v>
      </c>
    </row>
    <row r="1357" spans="1:9" x14ac:dyDescent="0.2">
      <c r="A1357" s="704">
        <v>3717</v>
      </c>
      <c r="B1357" s="704">
        <v>3717</v>
      </c>
      <c r="C1357" s="704" t="s">
        <v>582</v>
      </c>
      <c r="D1357" s="704" t="s">
        <v>541</v>
      </c>
      <c r="E1357" s="704">
        <v>0.999</v>
      </c>
      <c r="F1357" s="704">
        <v>99.9</v>
      </c>
      <c r="H1357">
        <f t="shared" si="104"/>
        <v>3717</v>
      </c>
      <c r="I1357" t="str">
        <f t="shared" si="105"/>
        <v>Rest of Vic.</v>
      </c>
    </row>
    <row r="1358" spans="1:9" x14ac:dyDescent="0.2">
      <c r="A1358" s="704">
        <v>3718</v>
      </c>
      <c r="B1358" s="704">
        <v>3718</v>
      </c>
      <c r="C1358" s="704" t="s">
        <v>582</v>
      </c>
      <c r="D1358" s="704" t="s">
        <v>541</v>
      </c>
      <c r="E1358" s="704">
        <v>1</v>
      </c>
      <c r="F1358" s="704">
        <v>100</v>
      </c>
      <c r="H1358">
        <f t="shared" si="104"/>
        <v>3718</v>
      </c>
      <c r="I1358" t="str">
        <f t="shared" si="105"/>
        <v>Rest of Vic.</v>
      </c>
    </row>
    <row r="1359" spans="1:9" x14ac:dyDescent="0.2">
      <c r="A1359" s="704">
        <v>3719</v>
      </c>
      <c r="B1359" s="704">
        <v>3719</v>
      </c>
      <c r="C1359" s="704" t="s">
        <v>582</v>
      </c>
      <c r="D1359" s="704" t="s">
        <v>541</v>
      </c>
      <c r="E1359" s="704">
        <v>1</v>
      </c>
      <c r="F1359" s="704">
        <v>100</v>
      </c>
      <c r="H1359">
        <f t="shared" si="104"/>
        <v>3719</v>
      </c>
      <c r="I1359" t="str">
        <f t="shared" si="105"/>
        <v>Rest of Vic.</v>
      </c>
    </row>
    <row r="1360" spans="1:9" x14ac:dyDescent="0.2">
      <c r="A1360" s="704">
        <v>3720</v>
      </c>
      <c r="B1360" s="704">
        <v>3720</v>
      </c>
      <c r="C1360" s="704" t="s">
        <v>582</v>
      </c>
      <c r="D1360" s="704" t="s">
        <v>541</v>
      </c>
      <c r="E1360" s="704">
        <v>1</v>
      </c>
      <c r="F1360" s="704">
        <v>100</v>
      </c>
      <c r="H1360">
        <f t="shared" si="104"/>
        <v>3720</v>
      </c>
      <c r="I1360" t="str">
        <f t="shared" si="105"/>
        <v>Rest of Vic.</v>
      </c>
    </row>
    <row r="1361" spans="1:9" x14ac:dyDescent="0.2">
      <c r="A1361" s="704">
        <v>3722</v>
      </c>
      <c r="B1361" s="704">
        <v>3722</v>
      </c>
      <c r="C1361" s="704" t="s">
        <v>582</v>
      </c>
      <c r="D1361" s="704" t="s">
        <v>541</v>
      </c>
      <c r="E1361" s="704">
        <v>1</v>
      </c>
      <c r="F1361" s="704">
        <v>100</v>
      </c>
      <c r="H1361">
        <f t="shared" si="104"/>
        <v>3722</v>
      </c>
      <c r="I1361" t="str">
        <f t="shared" si="105"/>
        <v>Rest of Vic.</v>
      </c>
    </row>
    <row r="1362" spans="1:9" x14ac:dyDescent="0.2">
      <c r="A1362" s="704">
        <v>3723</v>
      </c>
      <c r="B1362" s="704">
        <v>3723</v>
      </c>
      <c r="C1362" s="704" t="s">
        <v>582</v>
      </c>
      <c r="D1362" s="704" t="s">
        <v>541</v>
      </c>
      <c r="E1362" s="704">
        <v>1</v>
      </c>
      <c r="F1362" s="704">
        <v>100</v>
      </c>
      <c r="H1362">
        <f t="shared" si="104"/>
        <v>3723</v>
      </c>
      <c r="I1362" t="str">
        <f t="shared" si="105"/>
        <v>Rest of Vic.</v>
      </c>
    </row>
    <row r="1363" spans="1:9" x14ac:dyDescent="0.2">
      <c r="A1363" s="704">
        <v>3725</v>
      </c>
      <c r="B1363" s="704">
        <v>3725</v>
      </c>
      <c r="C1363" s="704" t="s">
        <v>582</v>
      </c>
      <c r="D1363" s="704" t="s">
        <v>541</v>
      </c>
      <c r="E1363" s="704">
        <v>1</v>
      </c>
      <c r="F1363" s="704">
        <v>100</v>
      </c>
      <c r="H1363">
        <f t="shared" si="104"/>
        <v>3725</v>
      </c>
      <c r="I1363" t="str">
        <f t="shared" si="105"/>
        <v>Rest of Vic.</v>
      </c>
    </row>
    <row r="1364" spans="1:9" x14ac:dyDescent="0.2">
      <c r="A1364" s="704">
        <v>3726</v>
      </c>
      <c r="B1364" s="704">
        <v>3726</v>
      </c>
      <c r="C1364" s="704" t="s">
        <v>582</v>
      </c>
      <c r="D1364" s="704" t="s">
        <v>541</v>
      </c>
      <c r="E1364" s="704">
        <v>1</v>
      </c>
      <c r="F1364" s="704">
        <v>100</v>
      </c>
      <c r="H1364">
        <f t="shared" si="104"/>
        <v>3726</v>
      </c>
      <c r="I1364" t="str">
        <f t="shared" si="105"/>
        <v>Rest of Vic.</v>
      </c>
    </row>
    <row r="1365" spans="1:9" x14ac:dyDescent="0.2">
      <c r="A1365" s="704">
        <v>3727</v>
      </c>
      <c r="B1365" s="704">
        <v>3727</v>
      </c>
      <c r="C1365" s="704" t="s">
        <v>582</v>
      </c>
      <c r="D1365" s="704" t="s">
        <v>541</v>
      </c>
      <c r="E1365" s="704">
        <v>1</v>
      </c>
      <c r="F1365" s="704">
        <v>100</v>
      </c>
      <c r="H1365">
        <f t="shared" si="104"/>
        <v>3727</v>
      </c>
      <c r="I1365" t="str">
        <f t="shared" si="105"/>
        <v>Rest of Vic.</v>
      </c>
    </row>
    <row r="1366" spans="1:9" x14ac:dyDescent="0.2">
      <c r="A1366" s="704">
        <v>3728</v>
      </c>
      <c r="B1366" s="704">
        <v>3728</v>
      </c>
      <c r="C1366" s="704" t="s">
        <v>582</v>
      </c>
      <c r="D1366" s="704" t="s">
        <v>541</v>
      </c>
      <c r="E1366" s="704">
        <v>1</v>
      </c>
      <c r="F1366" s="704">
        <v>100</v>
      </c>
      <c r="H1366">
        <f t="shared" si="104"/>
        <v>3728</v>
      </c>
      <c r="I1366" t="str">
        <f t="shared" si="105"/>
        <v>Rest of Vic.</v>
      </c>
    </row>
    <row r="1367" spans="1:9" x14ac:dyDescent="0.2">
      <c r="A1367" s="704">
        <v>3730</v>
      </c>
      <c r="B1367" s="704">
        <v>3730</v>
      </c>
      <c r="C1367" s="704" t="s">
        <v>582</v>
      </c>
      <c r="D1367" s="704" t="s">
        <v>541</v>
      </c>
      <c r="E1367" s="704">
        <v>1</v>
      </c>
      <c r="F1367" s="704">
        <v>100</v>
      </c>
      <c r="H1367">
        <f t="shared" si="104"/>
        <v>3730</v>
      </c>
      <c r="I1367" t="str">
        <f t="shared" si="105"/>
        <v>Rest of Vic.</v>
      </c>
    </row>
    <row r="1368" spans="1:9" x14ac:dyDescent="0.2">
      <c r="A1368" s="704">
        <v>3732</v>
      </c>
      <c r="B1368" s="704">
        <v>3732</v>
      </c>
      <c r="C1368" s="704" t="s">
        <v>582</v>
      </c>
      <c r="D1368" s="704" t="s">
        <v>541</v>
      </c>
      <c r="E1368" s="704">
        <v>1</v>
      </c>
      <c r="F1368" s="704">
        <v>100</v>
      </c>
      <c r="H1368">
        <f t="shared" si="104"/>
        <v>3732</v>
      </c>
      <c r="I1368" t="str">
        <f t="shared" si="105"/>
        <v>Rest of Vic.</v>
      </c>
    </row>
    <row r="1369" spans="1:9" x14ac:dyDescent="0.2">
      <c r="A1369" s="704">
        <v>3733</v>
      </c>
      <c r="B1369" s="704">
        <v>3733</v>
      </c>
      <c r="C1369" s="704" t="s">
        <v>582</v>
      </c>
      <c r="D1369" s="704" t="s">
        <v>541</v>
      </c>
      <c r="E1369" s="704">
        <v>1</v>
      </c>
      <c r="F1369" s="704">
        <v>100</v>
      </c>
      <c r="H1369">
        <f t="shared" si="104"/>
        <v>3733</v>
      </c>
      <c r="I1369" t="str">
        <f t="shared" si="105"/>
        <v>Rest of Vic.</v>
      </c>
    </row>
    <row r="1370" spans="1:9" x14ac:dyDescent="0.2">
      <c r="A1370" s="704">
        <v>3735</v>
      </c>
      <c r="B1370" s="704">
        <v>3735</v>
      </c>
      <c r="C1370" s="704" t="s">
        <v>582</v>
      </c>
      <c r="D1370" s="704" t="s">
        <v>541</v>
      </c>
      <c r="E1370" s="704">
        <v>1</v>
      </c>
      <c r="F1370" s="704">
        <v>100</v>
      </c>
      <c r="H1370">
        <f t="shared" si="104"/>
        <v>3735</v>
      </c>
      <c r="I1370" t="str">
        <f t="shared" si="105"/>
        <v>Rest of Vic.</v>
      </c>
    </row>
    <row r="1371" spans="1:9" x14ac:dyDescent="0.2">
      <c r="A1371" s="704">
        <v>3737</v>
      </c>
      <c r="B1371" s="704">
        <v>3737</v>
      </c>
      <c r="C1371" s="704" t="s">
        <v>582</v>
      </c>
      <c r="D1371" s="704" t="s">
        <v>541</v>
      </c>
      <c r="E1371" s="704">
        <v>1</v>
      </c>
      <c r="F1371" s="704">
        <v>100</v>
      </c>
      <c r="H1371">
        <f t="shared" si="104"/>
        <v>3737</v>
      </c>
      <c r="I1371" t="str">
        <f t="shared" si="105"/>
        <v>Rest of Vic.</v>
      </c>
    </row>
    <row r="1372" spans="1:9" x14ac:dyDescent="0.2">
      <c r="A1372" s="704">
        <v>3738</v>
      </c>
      <c r="B1372" s="704">
        <v>3738</v>
      </c>
      <c r="C1372" s="704" t="s">
        <v>582</v>
      </c>
      <c r="D1372" s="704" t="s">
        <v>541</v>
      </c>
      <c r="E1372" s="704">
        <v>1</v>
      </c>
      <c r="F1372" s="704">
        <v>100</v>
      </c>
      <c r="H1372">
        <f t="shared" si="104"/>
        <v>3738</v>
      </c>
      <c r="I1372" t="str">
        <f t="shared" si="105"/>
        <v>Rest of Vic.</v>
      </c>
    </row>
    <row r="1373" spans="1:9" x14ac:dyDescent="0.2">
      <c r="A1373" s="704">
        <v>3739</v>
      </c>
      <c r="B1373" s="704">
        <v>3739</v>
      </c>
      <c r="C1373" s="704" t="s">
        <v>582</v>
      </c>
      <c r="D1373" s="704" t="s">
        <v>541</v>
      </c>
      <c r="E1373" s="704">
        <v>1</v>
      </c>
      <c r="F1373" s="704">
        <v>100</v>
      </c>
      <c r="H1373">
        <f t="shared" si="104"/>
        <v>3739</v>
      </c>
      <c r="I1373" t="str">
        <f t="shared" si="105"/>
        <v>Rest of Vic.</v>
      </c>
    </row>
    <row r="1374" spans="1:9" x14ac:dyDescent="0.2">
      <c r="A1374" s="704">
        <v>3740</v>
      </c>
      <c r="B1374" s="704">
        <v>3740</v>
      </c>
      <c r="C1374" s="704" t="s">
        <v>582</v>
      </c>
      <c r="D1374" s="704" t="s">
        <v>541</v>
      </c>
      <c r="E1374" s="704">
        <v>1</v>
      </c>
      <c r="F1374" s="704">
        <v>100</v>
      </c>
      <c r="H1374">
        <f t="shared" si="104"/>
        <v>3740</v>
      </c>
      <c r="I1374" t="str">
        <f t="shared" si="105"/>
        <v>Rest of Vic.</v>
      </c>
    </row>
    <row r="1375" spans="1:9" x14ac:dyDescent="0.2">
      <c r="A1375" s="704">
        <v>3741</v>
      </c>
      <c r="B1375" s="704">
        <v>3741</v>
      </c>
      <c r="C1375" s="704" t="s">
        <v>582</v>
      </c>
      <c r="D1375" s="704" t="s">
        <v>541</v>
      </c>
      <c r="E1375" s="704">
        <v>1</v>
      </c>
      <c r="F1375" s="704">
        <v>100</v>
      </c>
      <c r="H1375">
        <f t="shared" si="104"/>
        <v>3741</v>
      </c>
      <c r="I1375" t="str">
        <f t="shared" si="105"/>
        <v>Rest of Vic.</v>
      </c>
    </row>
    <row r="1376" spans="1:9" x14ac:dyDescent="0.2">
      <c r="A1376" s="704">
        <v>3744</v>
      </c>
      <c r="B1376" s="704">
        <v>3744</v>
      </c>
      <c r="C1376" s="704" t="s">
        <v>582</v>
      </c>
      <c r="D1376" s="704" t="s">
        <v>541</v>
      </c>
      <c r="E1376" s="704">
        <v>1</v>
      </c>
      <c r="F1376" s="704">
        <v>100</v>
      </c>
      <c r="H1376">
        <f t="shared" si="104"/>
        <v>3744</v>
      </c>
      <c r="I1376" t="str">
        <f t="shared" si="105"/>
        <v>Rest of Vic.</v>
      </c>
    </row>
    <row r="1377" spans="1:9" x14ac:dyDescent="0.2">
      <c r="A1377" s="704">
        <v>3746</v>
      </c>
      <c r="B1377" s="704">
        <v>3746</v>
      </c>
      <c r="C1377" s="704" t="s">
        <v>582</v>
      </c>
      <c r="D1377" s="704" t="s">
        <v>541</v>
      </c>
      <c r="E1377" s="704">
        <v>1</v>
      </c>
      <c r="F1377" s="704">
        <v>100</v>
      </c>
      <c r="H1377">
        <f t="shared" si="104"/>
        <v>3746</v>
      </c>
      <c r="I1377" t="str">
        <f t="shared" si="105"/>
        <v>Rest of Vic.</v>
      </c>
    </row>
    <row r="1378" spans="1:9" x14ac:dyDescent="0.2">
      <c r="A1378" s="704">
        <v>3747</v>
      </c>
      <c r="B1378" s="704">
        <v>3747</v>
      </c>
      <c r="C1378" s="704" t="s">
        <v>582</v>
      </c>
      <c r="D1378" s="704" t="s">
        <v>541</v>
      </c>
      <c r="E1378" s="704">
        <v>1</v>
      </c>
      <c r="F1378" s="704">
        <v>100</v>
      </c>
      <c r="H1378">
        <f t="shared" si="104"/>
        <v>3747</v>
      </c>
      <c r="I1378" t="str">
        <f t="shared" si="105"/>
        <v>Rest of Vic.</v>
      </c>
    </row>
    <row r="1379" spans="1:9" x14ac:dyDescent="0.2">
      <c r="A1379" s="704">
        <v>3749</v>
      </c>
      <c r="B1379" s="704">
        <v>3749</v>
      </c>
      <c r="C1379" s="704" t="s">
        <v>582</v>
      </c>
      <c r="D1379" s="704" t="s">
        <v>541</v>
      </c>
      <c r="E1379" s="704">
        <v>1</v>
      </c>
      <c r="F1379" s="704">
        <v>100</v>
      </c>
      <c r="H1379">
        <f t="shared" si="104"/>
        <v>3749</v>
      </c>
      <c r="I1379" t="str">
        <f t="shared" si="105"/>
        <v>Rest of Vic.</v>
      </c>
    </row>
    <row r="1380" spans="1:9" x14ac:dyDescent="0.2">
      <c r="A1380" s="704">
        <v>3750</v>
      </c>
      <c r="B1380" s="704">
        <v>3750</v>
      </c>
      <c r="C1380" s="704" t="s">
        <v>583</v>
      </c>
      <c r="D1380" s="704" t="s">
        <v>544</v>
      </c>
      <c r="E1380" s="704">
        <v>1</v>
      </c>
      <c r="F1380" s="704">
        <v>100</v>
      </c>
      <c r="H1380">
        <f t="shared" si="104"/>
        <v>3750</v>
      </c>
      <c r="I1380" t="str">
        <f t="shared" si="105"/>
        <v>Greater Melbourne</v>
      </c>
    </row>
    <row r="1381" spans="1:9" x14ac:dyDescent="0.2">
      <c r="A1381" s="704">
        <v>3751</v>
      </c>
      <c r="B1381" s="704">
        <v>3751</v>
      </c>
      <c r="C1381" s="704" t="s">
        <v>583</v>
      </c>
      <c r="D1381" s="704" t="s">
        <v>544</v>
      </c>
      <c r="E1381" s="704">
        <v>1</v>
      </c>
      <c r="F1381" s="704">
        <v>100</v>
      </c>
      <c r="H1381">
        <f t="shared" si="104"/>
        <v>3751</v>
      </c>
      <c r="I1381" t="str">
        <f t="shared" si="105"/>
        <v>Greater Melbourne</v>
      </c>
    </row>
    <row r="1382" spans="1:9" x14ac:dyDescent="0.2">
      <c r="A1382" s="704">
        <v>3752</v>
      </c>
      <c r="B1382" s="704">
        <v>3752</v>
      </c>
      <c r="C1382" s="704" t="s">
        <v>583</v>
      </c>
      <c r="D1382" s="704" t="s">
        <v>544</v>
      </c>
      <c r="E1382" s="704">
        <v>1</v>
      </c>
      <c r="F1382" s="704">
        <v>100</v>
      </c>
      <c r="H1382">
        <f t="shared" si="104"/>
        <v>3752</v>
      </c>
      <c r="I1382" t="str">
        <f t="shared" si="105"/>
        <v>Greater Melbourne</v>
      </c>
    </row>
    <row r="1383" spans="1:9" x14ac:dyDescent="0.2">
      <c r="A1383" s="704">
        <v>3753</v>
      </c>
      <c r="B1383" s="704">
        <v>3753</v>
      </c>
      <c r="C1383" s="704" t="s">
        <v>583</v>
      </c>
      <c r="D1383" s="704" t="s">
        <v>544</v>
      </c>
      <c r="E1383" s="704">
        <v>1</v>
      </c>
      <c r="F1383" s="704">
        <v>100</v>
      </c>
      <c r="H1383">
        <f t="shared" si="104"/>
        <v>3753</v>
      </c>
      <c r="I1383" t="str">
        <f t="shared" si="105"/>
        <v>Greater Melbourne</v>
      </c>
    </row>
    <row r="1384" spans="1:9" x14ac:dyDescent="0.2">
      <c r="A1384" s="704">
        <v>3754</v>
      </c>
      <c r="B1384" s="704">
        <v>3754</v>
      </c>
      <c r="C1384" s="704" t="s">
        <v>583</v>
      </c>
      <c r="D1384" s="704" t="s">
        <v>544</v>
      </c>
      <c r="E1384" s="704">
        <v>1</v>
      </c>
      <c r="F1384" s="704">
        <v>100</v>
      </c>
      <c r="H1384">
        <f t="shared" si="104"/>
        <v>3754</v>
      </c>
      <c r="I1384" t="str">
        <f t="shared" si="105"/>
        <v>Greater Melbourne</v>
      </c>
    </row>
    <row r="1385" spans="1:9" x14ac:dyDescent="0.2">
      <c r="A1385" s="704">
        <v>3755</v>
      </c>
      <c r="B1385" s="704">
        <v>3755</v>
      </c>
      <c r="C1385" s="704" t="s">
        <v>583</v>
      </c>
      <c r="D1385" s="704" t="s">
        <v>544</v>
      </c>
      <c r="E1385" s="704">
        <v>1</v>
      </c>
      <c r="F1385" s="704">
        <v>100</v>
      </c>
      <c r="H1385">
        <f t="shared" si="104"/>
        <v>3755</v>
      </c>
      <c r="I1385" t="str">
        <f t="shared" si="105"/>
        <v>Greater Melbourne</v>
      </c>
    </row>
    <row r="1386" spans="1:9" x14ac:dyDescent="0.2">
      <c r="A1386" s="704">
        <v>3756</v>
      </c>
      <c r="B1386" s="704">
        <v>3756</v>
      </c>
      <c r="C1386" s="704" t="s">
        <v>583</v>
      </c>
      <c r="D1386" s="704" t="s">
        <v>544</v>
      </c>
      <c r="E1386" s="704">
        <v>1</v>
      </c>
      <c r="F1386" s="704">
        <v>100</v>
      </c>
      <c r="H1386">
        <f t="shared" si="104"/>
        <v>3756</v>
      </c>
      <c r="I1386" t="str">
        <f t="shared" si="105"/>
        <v>Greater Melbourne</v>
      </c>
    </row>
    <row r="1387" spans="1:9" x14ac:dyDescent="0.2">
      <c r="A1387" s="704">
        <v>3757</v>
      </c>
      <c r="B1387" s="704">
        <v>3757</v>
      </c>
      <c r="C1387" s="704" t="s">
        <v>583</v>
      </c>
      <c r="D1387" s="704" t="s">
        <v>544</v>
      </c>
      <c r="E1387" s="704">
        <v>1</v>
      </c>
      <c r="F1387" s="704">
        <v>100</v>
      </c>
      <c r="H1387">
        <f t="shared" si="104"/>
        <v>3757</v>
      </c>
      <c r="I1387" t="str">
        <f t="shared" si="105"/>
        <v>Greater Melbourne</v>
      </c>
    </row>
    <row r="1388" spans="1:9" x14ac:dyDescent="0.2">
      <c r="A1388" s="704">
        <v>3758</v>
      </c>
      <c r="B1388" s="704">
        <v>3758</v>
      </c>
      <c r="C1388" s="704" t="s">
        <v>583</v>
      </c>
      <c r="D1388" s="704" t="s">
        <v>544</v>
      </c>
      <c r="E1388" s="704">
        <v>1</v>
      </c>
      <c r="F1388" s="704">
        <v>100</v>
      </c>
      <c r="H1388">
        <f t="shared" si="104"/>
        <v>3758</v>
      </c>
      <c r="I1388" t="str">
        <f t="shared" si="105"/>
        <v>Greater Melbourne</v>
      </c>
    </row>
    <row r="1389" spans="1:9" x14ac:dyDescent="0.2">
      <c r="A1389" s="704">
        <v>3759</v>
      </c>
      <c r="B1389" s="704">
        <v>3759</v>
      </c>
      <c r="C1389" s="704" t="s">
        <v>583</v>
      </c>
      <c r="D1389" s="704" t="s">
        <v>544</v>
      </c>
      <c r="E1389" s="704">
        <v>1</v>
      </c>
      <c r="F1389" s="704">
        <v>100</v>
      </c>
      <c r="H1389">
        <f t="shared" si="104"/>
        <v>3759</v>
      </c>
      <c r="I1389" t="str">
        <f t="shared" si="105"/>
        <v>Greater Melbourne</v>
      </c>
    </row>
    <row r="1390" spans="1:9" x14ac:dyDescent="0.2">
      <c r="A1390" s="704">
        <v>3760</v>
      </c>
      <c r="B1390" s="704">
        <v>3760</v>
      </c>
      <c r="C1390" s="704" t="s">
        <v>583</v>
      </c>
      <c r="D1390" s="704" t="s">
        <v>544</v>
      </c>
      <c r="E1390" s="704">
        <v>1</v>
      </c>
      <c r="F1390" s="704">
        <v>100</v>
      </c>
      <c r="H1390">
        <f t="shared" si="104"/>
        <v>3760</v>
      </c>
      <c r="I1390" t="str">
        <f t="shared" si="105"/>
        <v>Greater Melbourne</v>
      </c>
    </row>
    <row r="1391" spans="1:9" x14ac:dyDescent="0.2">
      <c r="A1391" s="704">
        <v>3761</v>
      </c>
      <c r="B1391" s="704">
        <v>3761</v>
      </c>
      <c r="C1391" s="704" t="s">
        <v>583</v>
      </c>
      <c r="D1391" s="704" t="s">
        <v>544</v>
      </c>
      <c r="E1391" s="704">
        <v>1</v>
      </c>
      <c r="F1391" s="704">
        <v>100</v>
      </c>
      <c r="H1391">
        <f t="shared" si="104"/>
        <v>3761</v>
      </c>
      <c r="I1391" t="str">
        <f t="shared" si="105"/>
        <v>Greater Melbourne</v>
      </c>
    </row>
    <row r="1392" spans="1:9" x14ac:dyDescent="0.2">
      <c r="A1392" s="704">
        <v>3762</v>
      </c>
      <c r="B1392" s="704">
        <v>3762</v>
      </c>
      <c r="C1392" s="704" t="s">
        <v>583</v>
      </c>
      <c r="D1392" s="704" t="s">
        <v>544</v>
      </c>
      <c r="E1392" s="704">
        <v>1</v>
      </c>
      <c r="F1392" s="704">
        <v>100</v>
      </c>
      <c r="H1392">
        <f t="shared" si="104"/>
        <v>3762</v>
      </c>
      <c r="I1392" t="str">
        <f t="shared" si="105"/>
        <v>Greater Melbourne</v>
      </c>
    </row>
    <row r="1393" spans="1:9" x14ac:dyDescent="0.2">
      <c r="A1393" s="704">
        <v>3763</v>
      </c>
      <c r="B1393" s="704">
        <v>3763</v>
      </c>
      <c r="C1393" s="704" t="s">
        <v>583</v>
      </c>
      <c r="D1393" s="704" t="s">
        <v>544</v>
      </c>
      <c r="E1393" s="704">
        <v>1</v>
      </c>
      <c r="F1393" s="704">
        <v>100</v>
      </c>
      <c r="H1393">
        <f t="shared" si="104"/>
        <v>3763</v>
      </c>
      <c r="I1393" t="str">
        <f t="shared" si="105"/>
        <v>Greater Melbourne</v>
      </c>
    </row>
    <row r="1394" spans="1:9" x14ac:dyDescent="0.2">
      <c r="A1394" s="704">
        <v>3764</v>
      </c>
      <c r="B1394" s="704">
        <v>3764</v>
      </c>
      <c r="C1394" s="704" t="s">
        <v>583</v>
      </c>
      <c r="D1394" s="704" t="s">
        <v>544</v>
      </c>
      <c r="E1394" s="704">
        <v>1.3396E-3</v>
      </c>
      <c r="F1394" s="704">
        <v>0.133964</v>
      </c>
      <c r="H1394">
        <f t="shared" si="104"/>
        <v>3764</v>
      </c>
      <c r="I1394" t="str">
        <f t="shared" si="105"/>
        <v>Greater Melbourne</v>
      </c>
    </row>
    <row r="1395" spans="1:9" x14ac:dyDescent="0.2">
      <c r="A1395" s="704">
        <v>3764</v>
      </c>
      <c r="B1395" s="704">
        <v>3764</v>
      </c>
      <c r="C1395" s="704" t="s">
        <v>582</v>
      </c>
      <c r="D1395" s="704" t="s">
        <v>541</v>
      </c>
      <c r="E1395" s="704">
        <v>0.99865999999999999</v>
      </c>
      <c r="F1395" s="704">
        <v>99.866</v>
      </c>
      <c r="H1395">
        <f t="shared" si="104"/>
        <v>3764</v>
      </c>
      <c r="I1395" t="str">
        <f t="shared" si="105"/>
        <v>Rest of Vic.</v>
      </c>
    </row>
    <row r="1396" spans="1:9" x14ac:dyDescent="0.2">
      <c r="A1396" s="704">
        <v>3765</v>
      </c>
      <c r="B1396" s="704">
        <v>3765</v>
      </c>
      <c r="C1396" s="704" t="s">
        <v>583</v>
      </c>
      <c r="D1396" s="704" t="s">
        <v>544</v>
      </c>
      <c r="E1396" s="704">
        <v>1</v>
      </c>
      <c r="F1396" s="704">
        <v>100</v>
      </c>
      <c r="H1396">
        <f t="shared" si="104"/>
        <v>3765</v>
      </c>
      <c r="I1396" t="str">
        <f t="shared" si="105"/>
        <v>Greater Melbourne</v>
      </c>
    </row>
    <row r="1397" spans="1:9" x14ac:dyDescent="0.2">
      <c r="A1397" s="704">
        <v>3766</v>
      </c>
      <c r="B1397" s="704">
        <v>3766</v>
      </c>
      <c r="C1397" s="704" t="s">
        <v>583</v>
      </c>
      <c r="D1397" s="704" t="s">
        <v>544</v>
      </c>
      <c r="E1397" s="704">
        <v>1</v>
      </c>
      <c r="F1397" s="704">
        <v>100</v>
      </c>
      <c r="H1397">
        <f t="shared" si="104"/>
        <v>3766</v>
      </c>
      <c r="I1397" t="str">
        <f t="shared" si="105"/>
        <v>Greater Melbourne</v>
      </c>
    </row>
    <row r="1398" spans="1:9" x14ac:dyDescent="0.2">
      <c r="A1398" s="704">
        <v>3767</v>
      </c>
      <c r="B1398" s="704">
        <v>3767</v>
      </c>
      <c r="C1398" s="704" t="s">
        <v>583</v>
      </c>
      <c r="D1398" s="704" t="s">
        <v>544</v>
      </c>
      <c r="E1398" s="704">
        <v>1</v>
      </c>
      <c r="F1398" s="704">
        <v>100</v>
      </c>
      <c r="H1398">
        <f t="shared" si="104"/>
        <v>3767</v>
      </c>
      <c r="I1398" t="str">
        <f t="shared" si="105"/>
        <v>Greater Melbourne</v>
      </c>
    </row>
    <row r="1399" spans="1:9" x14ac:dyDescent="0.2">
      <c r="A1399" s="704">
        <v>3770</v>
      </c>
      <c r="B1399" s="704">
        <v>3770</v>
      </c>
      <c r="C1399" s="704" t="s">
        <v>583</v>
      </c>
      <c r="D1399" s="704" t="s">
        <v>544</v>
      </c>
      <c r="E1399" s="704">
        <v>1</v>
      </c>
      <c r="F1399" s="704">
        <v>100</v>
      </c>
      <c r="H1399">
        <f t="shared" si="104"/>
        <v>3770</v>
      </c>
      <c r="I1399" t="str">
        <f t="shared" si="105"/>
        <v>Greater Melbourne</v>
      </c>
    </row>
    <row r="1400" spans="1:9" x14ac:dyDescent="0.2">
      <c r="A1400" s="704">
        <v>3775</v>
      </c>
      <c r="B1400" s="704">
        <v>3775</v>
      </c>
      <c r="C1400" s="704" t="s">
        <v>583</v>
      </c>
      <c r="D1400" s="704" t="s">
        <v>544</v>
      </c>
      <c r="E1400" s="704">
        <v>1</v>
      </c>
      <c r="F1400" s="704">
        <v>100</v>
      </c>
      <c r="H1400">
        <f t="shared" si="104"/>
        <v>3775</v>
      </c>
      <c r="I1400" t="str">
        <f t="shared" si="105"/>
        <v>Greater Melbourne</v>
      </c>
    </row>
    <row r="1401" spans="1:9" x14ac:dyDescent="0.2">
      <c r="A1401" s="704">
        <v>3777</v>
      </c>
      <c r="B1401" s="704">
        <v>3777</v>
      </c>
      <c r="C1401" s="704" t="s">
        <v>583</v>
      </c>
      <c r="D1401" s="704" t="s">
        <v>544</v>
      </c>
      <c r="E1401" s="704">
        <v>1</v>
      </c>
      <c r="F1401" s="704">
        <v>100</v>
      </c>
      <c r="H1401">
        <f t="shared" ref="H1401:H1464" si="106">A1401*1</f>
        <v>3777</v>
      </c>
      <c r="I1401" t="str">
        <f t="shared" ref="I1401:I1464" si="107">D1401</f>
        <v>Greater Melbourne</v>
      </c>
    </row>
    <row r="1402" spans="1:9" x14ac:dyDescent="0.2">
      <c r="A1402" s="704">
        <v>3778</v>
      </c>
      <c r="B1402" s="704">
        <v>3778</v>
      </c>
      <c r="C1402" s="704" t="s">
        <v>582</v>
      </c>
      <c r="D1402" s="704" t="s">
        <v>541</v>
      </c>
      <c r="E1402" s="704">
        <v>0.99998399999999998</v>
      </c>
      <c r="F1402" s="704">
        <v>99.998400000000004</v>
      </c>
      <c r="H1402">
        <f t="shared" si="106"/>
        <v>3778</v>
      </c>
      <c r="I1402" t="str">
        <f t="shared" si="107"/>
        <v>Rest of Vic.</v>
      </c>
    </row>
    <row r="1403" spans="1:9" x14ac:dyDescent="0.2">
      <c r="A1403" s="704">
        <v>3779</v>
      </c>
      <c r="B1403" s="704">
        <v>3779</v>
      </c>
      <c r="C1403" s="704" t="s">
        <v>582</v>
      </c>
      <c r="D1403" s="704" t="s">
        <v>541</v>
      </c>
      <c r="E1403" s="704">
        <v>1</v>
      </c>
      <c r="F1403" s="704">
        <v>100</v>
      </c>
      <c r="H1403">
        <f t="shared" si="106"/>
        <v>3779</v>
      </c>
      <c r="I1403" t="str">
        <f t="shared" si="107"/>
        <v>Rest of Vic.</v>
      </c>
    </row>
    <row r="1404" spans="1:9" x14ac:dyDescent="0.2">
      <c r="A1404" s="704">
        <v>3781</v>
      </c>
      <c r="B1404" s="704">
        <v>3781</v>
      </c>
      <c r="C1404" s="704" t="s">
        <v>583</v>
      </c>
      <c r="D1404" s="704" t="s">
        <v>544</v>
      </c>
      <c r="E1404" s="704">
        <v>1</v>
      </c>
      <c r="F1404" s="704">
        <v>100</v>
      </c>
      <c r="H1404">
        <f t="shared" si="106"/>
        <v>3781</v>
      </c>
      <c r="I1404" t="str">
        <f t="shared" si="107"/>
        <v>Greater Melbourne</v>
      </c>
    </row>
    <row r="1405" spans="1:9" x14ac:dyDescent="0.2">
      <c r="A1405" s="704">
        <v>3782</v>
      </c>
      <c r="B1405" s="704">
        <v>3782</v>
      </c>
      <c r="C1405" s="704" t="s">
        <v>583</v>
      </c>
      <c r="D1405" s="704" t="s">
        <v>544</v>
      </c>
      <c r="E1405" s="704">
        <v>1</v>
      </c>
      <c r="F1405" s="704">
        <v>100</v>
      </c>
      <c r="H1405">
        <f t="shared" si="106"/>
        <v>3782</v>
      </c>
      <c r="I1405" t="str">
        <f t="shared" si="107"/>
        <v>Greater Melbourne</v>
      </c>
    </row>
    <row r="1406" spans="1:9" x14ac:dyDescent="0.2">
      <c r="A1406" s="704">
        <v>3783</v>
      </c>
      <c r="B1406" s="704">
        <v>3783</v>
      </c>
      <c r="C1406" s="704" t="s">
        <v>583</v>
      </c>
      <c r="D1406" s="704" t="s">
        <v>544</v>
      </c>
      <c r="E1406" s="704">
        <v>1</v>
      </c>
      <c r="F1406" s="704">
        <v>100</v>
      </c>
      <c r="H1406">
        <f t="shared" si="106"/>
        <v>3783</v>
      </c>
      <c r="I1406" t="str">
        <f t="shared" si="107"/>
        <v>Greater Melbourne</v>
      </c>
    </row>
    <row r="1407" spans="1:9" x14ac:dyDescent="0.2">
      <c r="A1407" s="704">
        <v>3785</v>
      </c>
      <c r="B1407" s="704">
        <v>3785</v>
      </c>
      <c r="C1407" s="704" t="s">
        <v>583</v>
      </c>
      <c r="D1407" s="704" t="s">
        <v>544</v>
      </c>
      <c r="E1407" s="704">
        <v>1</v>
      </c>
      <c r="F1407" s="704">
        <v>100</v>
      </c>
      <c r="H1407">
        <f t="shared" si="106"/>
        <v>3785</v>
      </c>
      <c r="I1407" t="str">
        <f t="shared" si="107"/>
        <v>Greater Melbourne</v>
      </c>
    </row>
    <row r="1408" spans="1:9" x14ac:dyDescent="0.2">
      <c r="A1408" s="704">
        <v>3786</v>
      </c>
      <c r="B1408" s="704">
        <v>3786</v>
      </c>
      <c r="C1408" s="704" t="s">
        <v>583</v>
      </c>
      <c r="D1408" s="704" t="s">
        <v>544</v>
      </c>
      <c r="E1408" s="704">
        <v>1</v>
      </c>
      <c r="F1408" s="704">
        <v>100</v>
      </c>
      <c r="H1408">
        <f t="shared" si="106"/>
        <v>3786</v>
      </c>
      <c r="I1408" t="str">
        <f t="shared" si="107"/>
        <v>Greater Melbourne</v>
      </c>
    </row>
    <row r="1409" spans="1:9" x14ac:dyDescent="0.2">
      <c r="A1409" s="704">
        <v>3787</v>
      </c>
      <c r="B1409" s="704">
        <v>3787</v>
      </c>
      <c r="C1409" s="704" t="s">
        <v>583</v>
      </c>
      <c r="D1409" s="704" t="s">
        <v>544</v>
      </c>
      <c r="E1409" s="704">
        <v>1</v>
      </c>
      <c r="F1409" s="704">
        <v>100</v>
      </c>
      <c r="H1409">
        <f t="shared" si="106"/>
        <v>3787</v>
      </c>
      <c r="I1409" t="str">
        <f t="shared" si="107"/>
        <v>Greater Melbourne</v>
      </c>
    </row>
    <row r="1410" spans="1:9" x14ac:dyDescent="0.2">
      <c r="A1410" s="704">
        <v>3788</v>
      </c>
      <c r="B1410" s="704">
        <v>3788</v>
      </c>
      <c r="C1410" s="704" t="s">
        <v>583</v>
      </c>
      <c r="D1410" s="704" t="s">
        <v>544</v>
      </c>
      <c r="E1410" s="704">
        <v>1</v>
      </c>
      <c r="F1410" s="704">
        <v>100</v>
      </c>
      <c r="H1410">
        <f t="shared" si="106"/>
        <v>3788</v>
      </c>
      <c r="I1410" t="str">
        <f t="shared" si="107"/>
        <v>Greater Melbourne</v>
      </c>
    </row>
    <row r="1411" spans="1:9" x14ac:dyDescent="0.2">
      <c r="A1411" s="704">
        <v>3789</v>
      </c>
      <c r="B1411" s="704">
        <v>3789</v>
      </c>
      <c r="C1411" s="704" t="s">
        <v>583</v>
      </c>
      <c r="D1411" s="704" t="s">
        <v>544</v>
      </c>
      <c r="E1411" s="704">
        <v>1</v>
      </c>
      <c r="F1411" s="704">
        <v>100</v>
      </c>
      <c r="H1411">
        <f t="shared" si="106"/>
        <v>3789</v>
      </c>
      <c r="I1411" t="str">
        <f t="shared" si="107"/>
        <v>Greater Melbourne</v>
      </c>
    </row>
    <row r="1412" spans="1:9" x14ac:dyDescent="0.2">
      <c r="A1412" s="704">
        <v>3791</v>
      </c>
      <c r="B1412" s="704">
        <v>3791</v>
      </c>
      <c r="C1412" s="704" t="s">
        <v>583</v>
      </c>
      <c r="D1412" s="704" t="s">
        <v>544</v>
      </c>
      <c r="E1412" s="704">
        <v>1</v>
      </c>
      <c r="F1412" s="704">
        <v>100</v>
      </c>
      <c r="H1412">
        <f t="shared" si="106"/>
        <v>3791</v>
      </c>
      <c r="I1412" t="str">
        <f t="shared" si="107"/>
        <v>Greater Melbourne</v>
      </c>
    </row>
    <row r="1413" spans="1:9" x14ac:dyDescent="0.2">
      <c r="A1413" s="704">
        <v>3792</v>
      </c>
      <c r="B1413" s="704">
        <v>3792</v>
      </c>
      <c r="C1413" s="704" t="s">
        <v>583</v>
      </c>
      <c r="D1413" s="704" t="s">
        <v>544</v>
      </c>
      <c r="E1413" s="704">
        <v>1</v>
      </c>
      <c r="F1413" s="704">
        <v>100</v>
      </c>
      <c r="H1413">
        <f t="shared" si="106"/>
        <v>3792</v>
      </c>
      <c r="I1413" t="str">
        <f t="shared" si="107"/>
        <v>Greater Melbourne</v>
      </c>
    </row>
    <row r="1414" spans="1:9" x14ac:dyDescent="0.2">
      <c r="A1414" s="704">
        <v>3793</v>
      </c>
      <c r="B1414" s="704">
        <v>3793</v>
      </c>
      <c r="C1414" s="704" t="s">
        <v>583</v>
      </c>
      <c r="D1414" s="704" t="s">
        <v>544</v>
      </c>
      <c r="E1414" s="704">
        <v>1</v>
      </c>
      <c r="F1414" s="704">
        <v>100</v>
      </c>
      <c r="H1414">
        <f t="shared" si="106"/>
        <v>3793</v>
      </c>
      <c r="I1414" t="str">
        <f t="shared" si="107"/>
        <v>Greater Melbourne</v>
      </c>
    </row>
    <row r="1415" spans="1:9" x14ac:dyDescent="0.2">
      <c r="A1415" s="704">
        <v>3795</v>
      </c>
      <c r="B1415" s="704">
        <v>3795</v>
      </c>
      <c r="C1415" s="704" t="s">
        <v>583</v>
      </c>
      <c r="D1415" s="704" t="s">
        <v>544</v>
      </c>
      <c r="E1415" s="704">
        <v>1</v>
      </c>
      <c r="F1415" s="704">
        <v>100</v>
      </c>
      <c r="H1415">
        <f t="shared" si="106"/>
        <v>3795</v>
      </c>
      <c r="I1415" t="str">
        <f t="shared" si="107"/>
        <v>Greater Melbourne</v>
      </c>
    </row>
    <row r="1416" spans="1:9" x14ac:dyDescent="0.2">
      <c r="A1416" s="704">
        <v>3796</v>
      </c>
      <c r="B1416" s="704">
        <v>3796</v>
      </c>
      <c r="C1416" s="704" t="s">
        <v>583</v>
      </c>
      <c r="D1416" s="704" t="s">
        <v>544</v>
      </c>
      <c r="E1416" s="704">
        <v>1</v>
      </c>
      <c r="F1416" s="704">
        <v>100</v>
      </c>
      <c r="H1416">
        <f t="shared" si="106"/>
        <v>3796</v>
      </c>
      <c r="I1416" t="str">
        <f t="shared" si="107"/>
        <v>Greater Melbourne</v>
      </c>
    </row>
    <row r="1417" spans="1:9" x14ac:dyDescent="0.2">
      <c r="A1417" s="704">
        <v>3797</v>
      </c>
      <c r="B1417" s="704">
        <v>3797</v>
      </c>
      <c r="C1417" s="704" t="s">
        <v>583</v>
      </c>
      <c r="D1417" s="704" t="s">
        <v>544</v>
      </c>
      <c r="E1417" s="704">
        <v>1</v>
      </c>
      <c r="F1417" s="704">
        <v>100</v>
      </c>
      <c r="H1417">
        <f t="shared" si="106"/>
        <v>3797</v>
      </c>
      <c r="I1417" t="str">
        <f t="shared" si="107"/>
        <v>Greater Melbourne</v>
      </c>
    </row>
    <row r="1418" spans="1:9" x14ac:dyDescent="0.2">
      <c r="A1418" s="704">
        <v>3799</v>
      </c>
      <c r="B1418" s="704">
        <v>3799</v>
      </c>
      <c r="C1418" s="704" t="s">
        <v>583</v>
      </c>
      <c r="D1418" s="704" t="s">
        <v>544</v>
      </c>
      <c r="E1418" s="704">
        <v>0.96252199999999999</v>
      </c>
      <c r="F1418" s="704">
        <v>96.252200000000002</v>
      </c>
      <c r="H1418">
        <f t="shared" si="106"/>
        <v>3799</v>
      </c>
      <c r="I1418" t="str">
        <f t="shared" si="107"/>
        <v>Greater Melbourne</v>
      </c>
    </row>
    <row r="1419" spans="1:9" x14ac:dyDescent="0.2">
      <c r="A1419" s="704">
        <v>3799</v>
      </c>
      <c r="B1419" s="704">
        <v>3799</v>
      </c>
      <c r="C1419" s="704" t="s">
        <v>582</v>
      </c>
      <c r="D1419" s="704" t="s">
        <v>541</v>
      </c>
      <c r="E1419" s="704">
        <v>3.7478299999999999E-2</v>
      </c>
      <c r="F1419" s="704">
        <v>3.74783</v>
      </c>
      <c r="H1419">
        <f t="shared" si="106"/>
        <v>3799</v>
      </c>
      <c r="I1419" t="str">
        <f t="shared" si="107"/>
        <v>Rest of Vic.</v>
      </c>
    </row>
    <row r="1420" spans="1:9" x14ac:dyDescent="0.2">
      <c r="A1420" s="704">
        <v>3800</v>
      </c>
      <c r="B1420" s="704">
        <v>3800</v>
      </c>
      <c r="C1420" s="704" t="s">
        <v>583</v>
      </c>
      <c r="D1420" s="704" t="s">
        <v>544</v>
      </c>
      <c r="E1420" s="704">
        <v>1</v>
      </c>
      <c r="F1420" s="704">
        <v>100</v>
      </c>
      <c r="H1420">
        <f t="shared" si="106"/>
        <v>3800</v>
      </c>
      <c r="I1420" t="str">
        <f t="shared" si="107"/>
        <v>Greater Melbourne</v>
      </c>
    </row>
    <row r="1421" spans="1:9" x14ac:dyDescent="0.2">
      <c r="A1421" s="704">
        <v>3802</v>
      </c>
      <c r="B1421" s="704">
        <v>3802</v>
      </c>
      <c r="C1421" s="704" t="s">
        <v>583</v>
      </c>
      <c r="D1421" s="704" t="s">
        <v>544</v>
      </c>
      <c r="E1421" s="704">
        <v>1</v>
      </c>
      <c r="F1421" s="704">
        <v>100</v>
      </c>
      <c r="H1421">
        <f t="shared" si="106"/>
        <v>3802</v>
      </c>
      <c r="I1421" t="str">
        <f t="shared" si="107"/>
        <v>Greater Melbourne</v>
      </c>
    </row>
    <row r="1422" spans="1:9" x14ac:dyDescent="0.2">
      <c r="A1422" s="704">
        <v>3803</v>
      </c>
      <c r="B1422" s="704">
        <v>3803</v>
      </c>
      <c r="C1422" s="704" t="s">
        <v>583</v>
      </c>
      <c r="D1422" s="704" t="s">
        <v>544</v>
      </c>
      <c r="E1422" s="704">
        <v>1</v>
      </c>
      <c r="F1422" s="704">
        <v>100</v>
      </c>
      <c r="H1422">
        <f t="shared" si="106"/>
        <v>3803</v>
      </c>
      <c r="I1422" t="str">
        <f t="shared" si="107"/>
        <v>Greater Melbourne</v>
      </c>
    </row>
    <row r="1423" spans="1:9" x14ac:dyDescent="0.2">
      <c r="A1423" s="704">
        <v>3804</v>
      </c>
      <c r="B1423" s="704">
        <v>3804</v>
      </c>
      <c r="C1423" s="704" t="s">
        <v>583</v>
      </c>
      <c r="D1423" s="704" t="s">
        <v>544</v>
      </c>
      <c r="E1423" s="704">
        <v>1</v>
      </c>
      <c r="F1423" s="704">
        <v>100</v>
      </c>
      <c r="H1423">
        <f t="shared" si="106"/>
        <v>3804</v>
      </c>
      <c r="I1423" t="str">
        <f t="shared" si="107"/>
        <v>Greater Melbourne</v>
      </c>
    </row>
    <row r="1424" spans="1:9" x14ac:dyDescent="0.2">
      <c r="A1424" s="704">
        <v>3805</v>
      </c>
      <c r="B1424" s="704">
        <v>3805</v>
      </c>
      <c r="C1424" s="704" t="s">
        <v>583</v>
      </c>
      <c r="D1424" s="704" t="s">
        <v>544</v>
      </c>
      <c r="E1424" s="704">
        <v>1</v>
      </c>
      <c r="F1424" s="704">
        <v>100</v>
      </c>
      <c r="H1424">
        <f t="shared" si="106"/>
        <v>3805</v>
      </c>
      <c r="I1424" t="str">
        <f t="shared" si="107"/>
        <v>Greater Melbourne</v>
      </c>
    </row>
    <row r="1425" spans="1:9" x14ac:dyDescent="0.2">
      <c r="A1425" s="704">
        <v>3806</v>
      </c>
      <c r="B1425" s="704">
        <v>3806</v>
      </c>
      <c r="C1425" s="704" t="s">
        <v>583</v>
      </c>
      <c r="D1425" s="704" t="s">
        <v>544</v>
      </c>
      <c r="E1425" s="704">
        <v>1</v>
      </c>
      <c r="F1425" s="704">
        <v>100</v>
      </c>
      <c r="H1425">
        <f t="shared" si="106"/>
        <v>3806</v>
      </c>
      <c r="I1425" t="str">
        <f t="shared" si="107"/>
        <v>Greater Melbourne</v>
      </c>
    </row>
    <row r="1426" spans="1:9" x14ac:dyDescent="0.2">
      <c r="A1426" s="704">
        <v>3807</v>
      </c>
      <c r="B1426" s="704">
        <v>3807</v>
      </c>
      <c r="C1426" s="704" t="s">
        <v>583</v>
      </c>
      <c r="D1426" s="704" t="s">
        <v>544</v>
      </c>
      <c r="E1426" s="704">
        <v>1</v>
      </c>
      <c r="F1426" s="704">
        <v>100</v>
      </c>
      <c r="H1426">
        <f t="shared" si="106"/>
        <v>3807</v>
      </c>
      <c r="I1426" t="str">
        <f t="shared" si="107"/>
        <v>Greater Melbourne</v>
      </c>
    </row>
    <row r="1427" spans="1:9" x14ac:dyDescent="0.2">
      <c r="A1427" s="704">
        <v>3808</v>
      </c>
      <c r="B1427" s="704">
        <v>3808</v>
      </c>
      <c r="C1427" s="704" t="s">
        <v>583</v>
      </c>
      <c r="D1427" s="704" t="s">
        <v>544</v>
      </c>
      <c r="E1427" s="704">
        <v>1</v>
      </c>
      <c r="F1427" s="704">
        <v>100</v>
      </c>
      <c r="H1427">
        <f t="shared" si="106"/>
        <v>3808</v>
      </c>
      <c r="I1427" t="str">
        <f t="shared" si="107"/>
        <v>Greater Melbourne</v>
      </c>
    </row>
    <row r="1428" spans="1:9" x14ac:dyDescent="0.2">
      <c r="A1428" s="704">
        <v>3809</v>
      </c>
      <c r="B1428" s="704">
        <v>3809</v>
      </c>
      <c r="C1428" s="704" t="s">
        <v>583</v>
      </c>
      <c r="D1428" s="704" t="s">
        <v>544</v>
      </c>
      <c r="E1428" s="704">
        <v>1</v>
      </c>
      <c r="F1428" s="704">
        <v>100</v>
      </c>
      <c r="H1428">
        <f t="shared" si="106"/>
        <v>3809</v>
      </c>
      <c r="I1428" t="str">
        <f t="shared" si="107"/>
        <v>Greater Melbourne</v>
      </c>
    </row>
    <row r="1429" spans="1:9" x14ac:dyDescent="0.2">
      <c r="A1429" s="704">
        <v>3810</v>
      </c>
      <c r="B1429" s="704">
        <v>3810</v>
      </c>
      <c r="C1429" s="704" t="s">
        <v>583</v>
      </c>
      <c r="D1429" s="704" t="s">
        <v>544</v>
      </c>
      <c r="E1429" s="704">
        <v>1</v>
      </c>
      <c r="F1429" s="704">
        <v>100</v>
      </c>
      <c r="H1429">
        <f t="shared" si="106"/>
        <v>3810</v>
      </c>
      <c r="I1429" t="str">
        <f t="shared" si="107"/>
        <v>Greater Melbourne</v>
      </c>
    </row>
    <row r="1430" spans="1:9" x14ac:dyDescent="0.2">
      <c r="A1430" s="704">
        <v>3812</v>
      </c>
      <c r="B1430" s="704">
        <v>3812</v>
      </c>
      <c r="C1430" s="704" t="s">
        <v>583</v>
      </c>
      <c r="D1430" s="704" t="s">
        <v>544</v>
      </c>
      <c r="E1430" s="704">
        <v>1</v>
      </c>
      <c r="F1430" s="704">
        <v>100</v>
      </c>
      <c r="H1430">
        <f t="shared" si="106"/>
        <v>3812</v>
      </c>
      <c r="I1430" t="str">
        <f t="shared" si="107"/>
        <v>Greater Melbourne</v>
      </c>
    </row>
    <row r="1431" spans="1:9" x14ac:dyDescent="0.2">
      <c r="A1431" s="704">
        <v>3813</v>
      </c>
      <c r="B1431" s="704">
        <v>3813</v>
      </c>
      <c r="C1431" s="704" t="s">
        <v>583</v>
      </c>
      <c r="D1431" s="704" t="s">
        <v>544</v>
      </c>
      <c r="E1431" s="704">
        <v>1</v>
      </c>
      <c r="F1431" s="704">
        <v>100</v>
      </c>
      <c r="H1431">
        <f t="shared" si="106"/>
        <v>3813</v>
      </c>
      <c r="I1431" t="str">
        <f t="shared" si="107"/>
        <v>Greater Melbourne</v>
      </c>
    </row>
    <row r="1432" spans="1:9" x14ac:dyDescent="0.2">
      <c r="A1432" s="704">
        <v>3814</v>
      </c>
      <c r="B1432" s="704">
        <v>3814</v>
      </c>
      <c r="C1432" s="704" t="s">
        <v>583</v>
      </c>
      <c r="D1432" s="704" t="s">
        <v>544</v>
      </c>
      <c r="E1432" s="704">
        <v>1</v>
      </c>
      <c r="F1432" s="704">
        <v>100</v>
      </c>
      <c r="H1432">
        <f t="shared" si="106"/>
        <v>3814</v>
      </c>
      <c r="I1432" t="str">
        <f t="shared" si="107"/>
        <v>Greater Melbourne</v>
      </c>
    </row>
    <row r="1433" spans="1:9" x14ac:dyDescent="0.2">
      <c r="A1433" s="704">
        <v>3815</v>
      </c>
      <c r="B1433" s="704">
        <v>3815</v>
      </c>
      <c r="C1433" s="704" t="s">
        <v>583</v>
      </c>
      <c r="D1433" s="704" t="s">
        <v>544</v>
      </c>
      <c r="E1433" s="704">
        <v>1</v>
      </c>
      <c r="F1433" s="704">
        <v>100</v>
      </c>
      <c r="H1433">
        <f t="shared" si="106"/>
        <v>3815</v>
      </c>
      <c r="I1433" t="str">
        <f t="shared" si="107"/>
        <v>Greater Melbourne</v>
      </c>
    </row>
    <row r="1434" spans="1:9" x14ac:dyDescent="0.2">
      <c r="A1434" s="704">
        <v>3816</v>
      </c>
      <c r="B1434" s="704">
        <v>3816</v>
      </c>
      <c r="C1434" s="704" t="s">
        <v>583</v>
      </c>
      <c r="D1434" s="704" t="s">
        <v>544</v>
      </c>
      <c r="E1434" s="704">
        <v>5.0167799999999999E-2</v>
      </c>
      <c r="F1434" s="704">
        <v>5.0167799999999998</v>
      </c>
      <c r="H1434">
        <f t="shared" si="106"/>
        <v>3816</v>
      </c>
      <c r="I1434" t="str">
        <f t="shared" si="107"/>
        <v>Greater Melbourne</v>
      </c>
    </row>
    <row r="1435" spans="1:9" x14ac:dyDescent="0.2">
      <c r="A1435" s="704">
        <v>3816</v>
      </c>
      <c r="B1435" s="704">
        <v>3816</v>
      </c>
      <c r="C1435" s="704" t="s">
        <v>582</v>
      </c>
      <c r="D1435" s="704" t="s">
        <v>541</v>
      </c>
      <c r="E1435" s="704">
        <v>0.94983200000000001</v>
      </c>
      <c r="F1435" s="704">
        <v>94.983199999999997</v>
      </c>
      <c r="H1435">
        <f t="shared" si="106"/>
        <v>3816</v>
      </c>
      <c r="I1435" t="str">
        <f t="shared" si="107"/>
        <v>Rest of Vic.</v>
      </c>
    </row>
    <row r="1436" spans="1:9" x14ac:dyDescent="0.2">
      <c r="A1436" s="704">
        <v>3818</v>
      </c>
      <c r="B1436" s="704">
        <v>3818</v>
      </c>
      <c r="C1436" s="704" t="s">
        <v>582</v>
      </c>
      <c r="D1436" s="704" t="s">
        <v>541</v>
      </c>
      <c r="E1436" s="704">
        <v>1</v>
      </c>
      <c r="F1436" s="704">
        <v>100</v>
      </c>
      <c r="H1436">
        <f t="shared" si="106"/>
        <v>3818</v>
      </c>
      <c r="I1436" t="str">
        <f t="shared" si="107"/>
        <v>Rest of Vic.</v>
      </c>
    </row>
    <row r="1437" spans="1:9" x14ac:dyDescent="0.2">
      <c r="A1437" s="704">
        <v>3820</v>
      </c>
      <c r="B1437" s="704">
        <v>3820</v>
      </c>
      <c r="C1437" s="704" t="s">
        <v>582</v>
      </c>
      <c r="D1437" s="704" t="s">
        <v>541</v>
      </c>
      <c r="E1437" s="704">
        <v>1</v>
      </c>
      <c r="F1437" s="704">
        <v>100</v>
      </c>
      <c r="H1437">
        <f t="shared" si="106"/>
        <v>3820</v>
      </c>
      <c r="I1437" t="str">
        <f t="shared" si="107"/>
        <v>Rest of Vic.</v>
      </c>
    </row>
    <row r="1438" spans="1:9" x14ac:dyDescent="0.2">
      <c r="A1438" s="704">
        <v>3821</v>
      </c>
      <c r="B1438" s="704">
        <v>3821</v>
      </c>
      <c r="C1438" s="704" t="s">
        <v>582</v>
      </c>
      <c r="D1438" s="704" t="s">
        <v>541</v>
      </c>
      <c r="E1438" s="704">
        <v>1</v>
      </c>
      <c r="F1438" s="704">
        <v>100</v>
      </c>
      <c r="H1438">
        <f t="shared" si="106"/>
        <v>3821</v>
      </c>
      <c r="I1438" t="str">
        <f t="shared" si="107"/>
        <v>Rest of Vic.</v>
      </c>
    </row>
    <row r="1439" spans="1:9" x14ac:dyDescent="0.2">
      <c r="A1439" s="704">
        <v>3822</v>
      </c>
      <c r="B1439" s="704">
        <v>3822</v>
      </c>
      <c r="C1439" s="704" t="s">
        <v>582</v>
      </c>
      <c r="D1439" s="704" t="s">
        <v>541</v>
      </c>
      <c r="E1439" s="704">
        <v>1</v>
      </c>
      <c r="F1439" s="704">
        <v>100</v>
      </c>
      <c r="H1439">
        <f t="shared" si="106"/>
        <v>3822</v>
      </c>
      <c r="I1439" t="str">
        <f t="shared" si="107"/>
        <v>Rest of Vic.</v>
      </c>
    </row>
    <row r="1440" spans="1:9" x14ac:dyDescent="0.2">
      <c r="A1440" s="704">
        <v>3823</v>
      </c>
      <c r="B1440" s="704">
        <v>3823</v>
      </c>
      <c r="C1440" s="704" t="s">
        <v>582</v>
      </c>
      <c r="D1440" s="704" t="s">
        <v>541</v>
      </c>
      <c r="E1440" s="704">
        <v>1</v>
      </c>
      <c r="F1440" s="704">
        <v>100</v>
      </c>
      <c r="H1440">
        <f t="shared" si="106"/>
        <v>3823</v>
      </c>
      <c r="I1440" t="str">
        <f t="shared" si="107"/>
        <v>Rest of Vic.</v>
      </c>
    </row>
    <row r="1441" spans="1:9" x14ac:dyDescent="0.2">
      <c r="A1441" s="704">
        <v>3824</v>
      </c>
      <c r="B1441" s="704">
        <v>3824</v>
      </c>
      <c r="C1441" s="704" t="s">
        <v>582</v>
      </c>
      <c r="D1441" s="704" t="s">
        <v>541</v>
      </c>
      <c r="E1441" s="704">
        <v>1</v>
      </c>
      <c r="F1441" s="704">
        <v>100</v>
      </c>
      <c r="H1441">
        <f t="shared" si="106"/>
        <v>3824</v>
      </c>
      <c r="I1441" t="str">
        <f t="shared" si="107"/>
        <v>Rest of Vic.</v>
      </c>
    </row>
    <row r="1442" spans="1:9" x14ac:dyDescent="0.2">
      <c r="A1442" s="704">
        <v>3825</v>
      </c>
      <c r="B1442" s="704">
        <v>3825</v>
      </c>
      <c r="C1442" s="704" t="s">
        <v>582</v>
      </c>
      <c r="D1442" s="704" t="s">
        <v>541</v>
      </c>
      <c r="E1442" s="704">
        <v>1</v>
      </c>
      <c r="F1442" s="704">
        <v>100</v>
      </c>
      <c r="H1442">
        <f t="shared" si="106"/>
        <v>3825</v>
      </c>
      <c r="I1442" t="str">
        <f t="shared" si="107"/>
        <v>Rest of Vic.</v>
      </c>
    </row>
    <row r="1443" spans="1:9" x14ac:dyDescent="0.2">
      <c r="A1443" s="704">
        <v>3831</v>
      </c>
      <c r="B1443" s="704">
        <v>3831</v>
      </c>
      <c r="C1443" s="704" t="s">
        <v>582</v>
      </c>
      <c r="D1443" s="704" t="s">
        <v>541</v>
      </c>
      <c r="E1443" s="704">
        <v>1</v>
      </c>
      <c r="F1443" s="704">
        <v>100</v>
      </c>
      <c r="H1443">
        <f t="shared" si="106"/>
        <v>3831</v>
      </c>
      <c r="I1443" t="str">
        <f t="shared" si="107"/>
        <v>Rest of Vic.</v>
      </c>
    </row>
    <row r="1444" spans="1:9" x14ac:dyDescent="0.2">
      <c r="A1444" s="704">
        <v>3832</v>
      </c>
      <c r="B1444" s="704">
        <v>3832</v>
      </c>
      <c r="C1444" s="704" t="s">
        <v>582</v>
      </c>
      <c r="D1444" s="704" t="s">
        <v>541</v>
      </c>
      <c r="E1444" s="704">
        <v>1</v>
      </c>
      <c r="F1444" s="704">
        <v>100</v>
      </c>
      <c r="H1444">
        <f t="shared" si="106"/>
        <v>3832</v>
      </c>
      <c r="I1444" t="str">
        <f t="shared" si="107"/>
        <v>Rest of Vic.</v>
      </c>
    </row>
    <row r="1445" spans="1:9" x14ac:dyDescent="0.2">
      <c r="A1445" s="704">
        <v>3833</v>
      </c>
      <c r="B1445" s="704">
        <v>3833</v>
      </c>
      <c r="C1445" s="704" t="s">
        <v>583</v>
      </c>
      <c r="D1445" s="704" t="s">
        <v>544</v>
      </c>
      <c r="E1445" s="704">
        <v>8.4590000000000002E-4</v>
      </c>
      <c r="F1445" s="704">
        <v>8.4588800000000006E-2</v>
      </c>
      <c r="H1445">
        <f t="shared" si="106"/>
        <v>3833</v>
      </c>
      <c r="I1445" t="str">
        <f t="shared" si="107"/>
        <v>Greater Melbourne</v>
      </c>
    </row>
    <row r="1446" spans="1:9" x14ac:dyDescent="0.2">
      <c r="A1446" s="704">
        <v>3833</v>
      </c>
      <c r="B1446" s="704">
        <v>3833</v>
      </c>
      <c r="C1446" s="704" t="s">
        <v>582</v>
      </c>
      <c r="D1446" s="704" t="s">
        <v>541</v>
      </c>
      <c r="E1446" s="704">
        <v>0.99915399999999999</v>
      </c>
      <c r="F1446" s="704">
        <v>99.915400000000005</v>
      </c>
      <c r="H1446">
        <f t="shared" si="106"/>
        <v>3833</v>
      </c>
      <c r="I1446" t="str">
        <f t="shared" si="107"/>
        <v>Rest of Vic.</v>
      </c>
    </row>
    <row r="1447" spans="1:9" x14ac:dyDescent="0.2">
      <c r="A1447" s="704">
        <v>3835</v>
      </c>
      <c r="B1447" s="704">
        <v>3835</v>
      </c>
      <c r="C1447" s="704" t="s">
        <v>582</v>
      </c>
      <c r="D1447" s="704" t="s">
        <v>541</v>
      </c>
      <c r="E1447" s="704">
        <v>1</v>
      </c>
      <c r="F1447" s="704">
        <v>100</v>
      </c>
      <c r="H1447">
        <f t="shared" si="106"/>
        <v>3835</v>
      </c>
      <c r="I1447" t="str">
        <f t="shared" si="107"/>
        <v>Rest of Vic.</v>
      </c>
    </row>
    <row r="1448" spans="1:9" x14ac:dyDescent="0.2">
      <c r="A1448" s="704">
        <v>3840</v>
      </c>
      <c r="B1448" s="704">
        <v>3840</v>
      </c>
      <c r="C1448" s="704" t="s">
        <v>582</v>
      </c>
      <c r="D1448" s="704" t="s">
        <v>541</v>
      </c>
      <c r="E1448" s="704">
        <v>1</v>
      </c>
      <c r="F1448" s="704">
        <v>100</v>
      </c>
      <c r="H1448">
        <f t="shared" si="106"/>
        <v>3840</v>
      </c>
      <c r="I1448" t="str">
        <f t="shared" si="107"/>
        <v>Rest of Vic.</v>
      </c>
    </row>
    <row r="1449" spans="1:9" x14ac:dyDescent="0.2">
      <c r="A1449" s="704">
        <v>3842</v>
      </c>
      <c r="B1449" s="704">
        <v>3842</v>
      </c>
      <c r="C1449" s="704" t="s">
        <v>582</v>
      </c>
      <c r="D1449" s="704" t="s">
        <v>541</v>
      </c>
      <c r="E1449" s="704">
        <v>1</v>
      </c>
      <c r="F1449" s="704">
        <v>100</v>
      </c>
      <c r="H1449">
        <f t="shared" si="106"/>
        <v>3842</v>
      </c>
      <c r="I1449" t="str">
        <f t="shared" si="107"/>
        <v>Rest of Vic.</v>
      </c>
    </row>
    <row r="1450" spans="1:9" x14ac:dyDescent="0.2">
      <c r="A1450" s="704">
        <v>3844</v>
      </c>
      <c r="B1450" s="704">
        <v>3844</v>
      </c>
      <c r="C1450" s="704" t="s">
        <v>582</v>
      </c>
      <c r="D1450" s="704" t="s">
        <v>541</v>
      </c>
      <c r="E1450" s="704">
        <v>1</v>
      </c>
      <c r="F1450" s="704">
        <v>100</v>
      </c>
      <c r="H1450">
        <f t="shared" si="106"/>
        <v>3844</v>
      </c>
      <c r="I1450" t="str">
        <f t="shared" si="107"/>
        <v>Rest of Vic.</v>
      </c>
    </row>
    <row r="1451" spans="1:9" x14ac:dyDescent="0.2">
      <c r="A1451" s="704">
        <v>3847</v>
      </c>
      <c r="B1451" s="704">
        <v>3847</v>
      </c>
      <c r="C1451" s="704" t="s">
        <v>582</v>
      </c>
      <c r="D1451" s="704" t="s">
        <v>541</v>
      </c>
      <c r="E1451" s="704">
        <v>1</v>
      </c>
      <c r="F1451" s="704">
        <v>100</v>
      </c>
      <c r="H1451">
        <f t="shared" si="106"/>
        <v>3847</v>
      </c>
      <c r="I1451" t="str">
        <f t="shared" si="107"/>
        <v>Rest of Vic.</v>
      </c>
    </row>
    <row r="1452" spans="1:9" x14ac:dyDescent="0.2">
      <c r="A1452" s="704">
        <v>3850</v>
      </c>
      <c r="B1452" s="704">
        <v>3850</v>
      </c>
      <c r="C1452" s="704" t="s">
        <v>582</v>
      </c>
      <c r="D1452" s="704" t="s">
        <v>541</v>
      </c>
      <c r="E1452" s="704">
        <v>1</v>
      </c>
      <c r="F1452" s="704">
        <v>100</v>
      </c>
      <c r="H1452">
        <f t="shared" si="106"/>
        <v>3850</v>
      </c>
      <c r="I1452" t="str">
        <f t="shared" si="107"/>
        <v>Rest of Vic.</v>
      </c>
    </row>
    <row r="1453" spans="1:9" x14ac:dyDescent="0.2">
      <c r="A1453" s="704">
        <v>3851</v>
      </c>
      <c r="B1453" s="704">
        <v>3851</v>
      </c>
      <c r="C1453" s="704" t="s">
        <v>582</v>
      </c>
      <c r="D1453" s="704" t="s">
        <v>541</v>
      </c>
      <c r="E1453" s="704">
        <v>0.99983100000000003</v>
      </c>
      <c r="F1453" s="704">
        <v>99.983099999999993</v>
      </c>
      <c r="H1453">
        <f t="shared" si="106"/>
        <v>3851</v>
      </c>
      <c r="I1453" t="str">
        <f t="shared" si="107"/>
        <v>Rest of Vic.</v>
      </c>
    </row>
    <row r="1454" spans="1:9" x14ac:dyDescent="0.2">
      <c r="A1454" s="704">
        <v>3852</v>
      </c>
      <c r="B1454" s="704">
        <v>3852</v>
      </c>
      <c r="C1454" s="704" t="s">
        <v>582</v>
      </c>
      <c r="D1454" s="704" t="s">
        <v>541</v>
      </c>
      <c r="E1454" s="704">
        <v>1</v>
      </c>
      <c r="F1454" s="704">
        <v>100</v>
      </c>
      <c r="H1454">
        <f t="shared" si="106"/>
        <v>3852</v>
      </c>
      <c r="I1454" t="str">
        <f t="shared" si="107"/>
        <v>Rest of Vic.</v>
      </c>
    </row>
    <row r="1455" spans="1:9" x14ac:dyDescent="0.2">
      <c r="A1455" s="704">
        <v>3854</v>
      </c>
      <c r="B1455" s="704">
        <v>3854</v>
      </c>
      <c r="C1455" s="704" t="s">
        <v>582</v>
      </c>
      <c r="D1455" s="704" t="s">
        <v>541</v>
      </c>
      <c r="E1455" s="704">
        <v>1</v>
      </c>
      <c r="F1455" s="704">
        <v>100</v>
      </c>
      <c r="H1455">
        <f t="shared" si="106"/>
        <v>3854</v>
      </c>
      <c r="I1455" t="str">
        <f t="shared" si="107"/>
        <v>Rest of Vic.</v>
      </c>
    </row>
    <row r="1456" spans="1:9" x14ac:dyDescent="0.2">
      <c r="A1456" s="704">
        <v>3856</v>
      </c>
      <c r="B1456" s="704">
        <v>3856</v>
      </c>
      <c r="C1456" s="704" t="s">
        <v>582</v>
      </c>
      <c r="D1456" s="704" t="s">
        <v>541</v>
      </c>
      <c r="E1456" s="704">
        <v>1</v>
      </c>
      <c r="F1456" s="704">
        <v>100</v>
      </c>
      <c r="H1456">
        <f t="shared" si="106"/>
        <v>3856</v>
      </c>
      <c r="I1456" t="str">
        <f t="shared" si="107"/>
        <v>Rest of Vic.</v>
      </c>
    </row>
    <row r="1457" spans="1:9" x14ac:dyDescent="0.2">
      <c r="A1457" s="704">
        <v>3857</v>
      </c>
      <c r="B1457" s="704">
        <v>3857</v>
      </c>
      <c r="C1457" s="704" t="s">
        <v>582</v>
      </c>
      <c r="D1457" s="704" t="s">
        <v>541</v>
      </c>
      <c r="E1457" s="704">
        <v>1</v>
      </c>
      <c r="F1457" s="704">
        <v>100</v>
      </c>
      <c r="H1457">
        <f t="shared" si="106"/>
        <v>3857</v>
      </c>
      <c r="I1457" t="str">
        <f t="shared" si="107"/>
        <v>Rest of Vic.</v>
      </c>
    </row>
    <row r="1458" spans="1:9" x14ac:dyDescent="0.2">
      <c r="A1458" s="704">
        <v>3858</v>
      </c>
      <c r="B1458" s="704">
        <v>3858</v>
      </c>
      <c r="C1458" s="704" t="s">
        <v>582</v>
      </c>
      <c r="D1458" s="704" t="s">
        <v>541</v>
      </c>
      <c r="E1458" s="704">
        <v>1</v>
      </c>
      <c r="F1458" s="704">
        <v>100</v>
      </c>
      <c r="H1458">
        <f t="shared" si="106"/>
        <v>3858</v>
      </c>
      <c r="I1458" t="str">
        <f t="shared" si="107"/>
        <v>Rest of Vic.</v>
      </c>
    </row>
    <row r="1459" spans="1:9" x14ac:dyDescent="0.2">
      <c r="A1459" s="704">
        <v>3859</v>
      </c>
      <c r="B1459" s="704">
        <v>3859</v>
      </c>
      <c r="C1459" s="704" t="s">
        <v>582</v>
      </c>
      <c r="D1459" s="704" t="s">
        <v>541</v>
      </c>
      <c r="E1459" s="704">
        <v>1</v>
      </c>
      <c r="F1459" s="704">
        <v>100</v>
      </c>
      <c r="H1459">
        <f t="shared" si="106"/>
        <v>3859</v>
      </c>
      <c r="I1459" t="str">
        <f t="shared" si="107"/>
        <v>Rest of Vic.</v>
      </c>
    </row>
    <row r="1460" spans="1:9" x14ac:dyDescent="0.2">
      <c r="A1460" s="704">
        <v>3860</v>
      </c>
      <c r="B1460" s="704">
        <v>3860</v>
      </c>
      <c r="C1460" s="704" t="s">
        <v>582</v>
      </c>
      <c r="D1460" s="704" t="s">
        <v>541</v>
      </c>
      <c r="E1460" s="704">
        <v>1</v>
      </c>
      <c r="F1460" s="704">
        <v>100</v>
      </c>
      <c r="H1460">
        <f t="shared" si="106"/>
        <v>3860</v>
      </c>
      <c r="I1460" t="str">
        <f t="shared" si="107"/>
        <v>Rest of Vic.</v>
      </c>
    </row>
    <row r="1461" spans="1:9" x14ac:dyDescent="0.2">
      <c r="A1461" s="704">
        <v>3862</v>
      </c>
      <c r="B1461" s="704">
        <v>3862</v>
      </c>
      <c r="C1461" s="704" t="s">
        <v>582</v>
      </c>
      <c r="D1461" s="704" t="s">
        <v>541</v>
      </c>
      <c r="E1461" s="704">
        <v>1</v>
      </c>
      <c r="F1461" s="704">
        <v>100</v>
      </c>
      <c r="H1461">
        <f t="shared" si="106"/>
        <v>3862</v>
      </c>
      <c r="I1461" t="str">
        <f t="shared" si="107"/>
        <v>Rest of Vic.</v>
      </c>
    </row>
    <row r="1462" spans="1:9" x14ac:dyDescent="0.2">
      <c r="A1462" s="704">
        <v>3864</v>
      </c>
      <c r="B1462" s="704">
        <v>3864</v>
      </c>
      <c r="C1462" s="704" t="s">
        <v>582</v>
      </c>
      <c r="D1462" s="704" t="s">
        <v>541</v>
      </c>
      <c r="E1462" s="704">
        <v>1</v>
      </c>
      <c r="F1462" s="704">
        <v>100</v>
      </c>
      <c r="H1462">
        <f t="shared" si="106"/>
        <v>3864</v>
      </c>
      <c r="I1462" t="str">
        <f t="shared" si="107"/>
        <v>Rest of Vic.</v>
      </c>
    </row>
    <row r="1463" spans="1:9" x14ac:dyDescent="0.2">
      <c r="A1463" s="704">
        <v>3865</v>
      </c>
      <c r="B1463" s="704">
        <v>3865</v>
      </c>
      <c r="C1463" s="704" t="s">
        <v>582</v>
      </c>
      <c r="D1463" s="704" t="s">
        <v>541</v>
      </c>
      <c r="E1463" s="704">
        <v>1</v>
      </c>
      <c r="F1463" s="704">
        <v>100</v>
      </c>
      <c r="H1463">
        <f t="shared" si="106"/>
        <v>3865</v>
      </c>
      <c r="I1463" t="str">
        <f t="shared" si="107"/>
        <v>Rest of Vic.</v>
      </c>
    </row>
    <row r="1464" spans="1:9" x14ac:dyDescent="0.2">
      <c r="A1464" s="704">
        <v>3869</v>
      </c>
      <c r="B1464" s="704">
        <v>3869</v>
      </c>
      <c r="C1464" s="704" t="s">
        <v>582</v>
      </c>
      <c r="D1464" s="704" t="s">
        <v>541</v>
      </c>
      <c r="E1464" s="704">
        <v>1</v>
      </c>
      <c r="F1464" s="704">
        <v>100</v>
      </c>
      <c r="H1464">
        <f t="shared" si="106"/>
        <v>3869</v>
      </c>
      <c r="I1464" t="str">
        <f t="shared" si="107"/>
        <v>Rest of Vic.</v>
      </c>
    </row>
    <row r="1465" spans="1:9" x14ac:dyDescent="0.2">
      <c r="A1465" s="704">
        <v>3870</v>
      </c>
      <c r="B1465" s="704">
        <v>3870</v>
      </c>
      <c r="C1465" s="704" t="s">
        <v>582</v>
      </c>
      <c r="D1465" s="704" t="s">
        <v>541</v>
      </c>
      <c r="E1465" s="704">
        <v>1</v>
      </c>
      <c r="F1465" s="704">
        <v>100</v>
      </c>
      <c r="H1465">
        <f t="shared" ref="H1465:H1528" si="108">A1465*1</f>
        <v>3870</v>
      </c>
      <c r="I1465" t="str">
        <f t="shared" ref="I1465:I1528" si="109">D1465</f>
        <v>Rest of Vic.</v>
      </c>
    </row>
    <row r="1466" spans="1:9" x14ac:dyDescent="0.2">
      <c r="A1466" s="704">
        <v>3871</v>
      </c>
      <c r="B1466" s="704">
        <v>3871</v>
      </c>
      <c r="C1466" s="704" t="s">
        <v>582</v>
      </c>
      <c r="D1466" s="704" t="s">
        <v>541</v>
      </c>
      <c r="E1466" s="704">
        <v>1</v>
      </c>
      <c r="F1466" s="704">
        <v>100</v>
      </c>
      <c r="H1466">
        <f t="shared" si="108"/>
        <v>3871</v>
      </c>
      <c r="I1466" t="str">
        <f t="shared" si="109"/>
        <v>Rest of Vic.</v>
      </c>
    </row>
    <row r="1467" spans="1:9" x14ac:dyDescent="0.2">
      <c r="A1467" s="704">
        <v>3873</v>
      </c>
      <c r="B1467" s="704">
        <v>3873</v>
      </c>
      <c r="C1467" s="704" t="s">
        <v>582</v>
      </c>
      <c r="D1467" s="704" t="s">
        <v>541</v>
      </c>
      <c r="E1467" s="704">
        <v>1</v>
      </c>
      <c r="F1467" s="704">
        <v>100</v>
      </c>
      <c r="H1467">
        <f t="shared" si="108"/>
        <v>3873</v>
      </c>
      <c r="I1467" t="str">
        <f t="shared" si="109"/>
        <v>Rest of Vic.</v>
      </c>
    </row>
    <row r="1468" spans="1:9" x14ac:dyDescent="0.2">
      <c r="A1468" s="704">
        <v>3874</v>
      </c>
      <c r="B1468" s="704">
        <v>3874</v>
      </c>
      <c r="C1468" s="704" t="s">
        <v>582</v>
      </c>
      <c r="D1468" s="704" t="s">
        <v>541</v>
      </c>
      <c r="E1468" s="704">
        <v>0.99999199999999999</v>
      </c>
      <c r="F1468" s="704">
        <v>99.999200000000002</v>
      </c>
      <c r="H1468">
        <f t="shared" si="108"/>
        <v>3874</v>
      </c>
      <c r="I1468" t="str">
        <f t="shared" si="109"/>
        <v>Rest of Vic.</v>
      </c>
    </row>
    <row r="1469" spans="1:9" x14ac:dyDescent="0.2">
      <c r="A1469" s="704">
        <v>3875</v>
      </c>
      <c r="B1469" s="704">
        <v>3875</v>
      </c>
      <c r="C1469" s="704" t="s">
        <v>582</v>
      </c>
      <c r="D1469" s="704" t="s">
        <v>541</v>
      </c>
      <c r="E1469" s="704">
        <v>1</v>
      </c>
      <c r="F1469" s="704">
        <v>100</v>
      </c>
      <c r="H1469">
        <f t="shared" si="108"/>
        <v>3875</v>
      </c>
      <c r="I1469" t="str">
        <f t="shared" si="109"/>
        <v>Rest of Vic.</v>
      </c>
    </row>
    <row r="1470" spans="1:9" x14ac:dyDescent="0.2">
      <c r="A1470" s="704">
        <v>3878</v>
      </c>
      <c r="B1470" s="704">
        <v>3878</v>
      </c>
      <c r="C1470" s="704" t="s">
        <v>582</v>
      </c>
      <c r="D1470" s="704" t="s">
        <v>541</v>
      </c>
      <c r="E1470" s="704">
        <v>1</v>
      </c>
      <c r="F1470" s="704">
        <v>100</v>
      </c>
      <c r="H1470">
        <f t="shared" si="108"/>
        <v>3878</v>
      </c>
      <c r="I1470" t="str">
        <f t="shared" si="109"/>
        <v>Rest of Vic.</v>
      </c>
    </row>
    <row r="1471" spans="1:9" x14ac:dyDescent="0.2">
      <c r="A1471" s="704">
        <v>3880</v>
      </c>
      <c r="B1471" s="704">
        <v>3880</v>
      </c>
      <c r="C1471" s="704" t="s">
        <v>582</v>
      </c>
      <c r="D1471" s="704" t="s">
        <v>541</v>
      </c>
      <c r="E1471" s="704">
        <v>1</v>
      </c>
      <c r="F1471" s="704">
        <v>100</v>
      </c>
      <c r="H1471">
        <f t="shared" si="108"/>
        <v>3880</v>
      </c>
      <c r="I1471" t="str">
        <f t="shared" si="109"/>
        <v>Rest of Vic.</v>
      </c>
    </row>
    <row r="1472" spans="1:9" x14ac:dyDescent="0.2">
      <c r="A1472" s="704">
        <v>3882</v>
      </c>
      <c r="B1472" s="704">
        <v>3882</v>
      </c>
      <c r="C1472" s="704" t="s">
        <v>582</v>
      </c>
      <c r="D1472" s="704" t="s">
        <v>541</v>
      </c>
      <c r="E1472" s="704">
        <v>1</v>
      </c>
      <c r="F1472" s="704">
        <v>100</v>
      </c>
      <c r="H1472">
        <f t="shared" si="108"/>
        <v>3882</v>
      </c>
      <c r="I1472" t="str">
        <f t="shared" si="109"/>
        <v>Rest of Vic.</v>
      </c>
    </row>
    <row r="1473" spans="1:9" x14ac:dyDescent="0.2">
      <c r="A1473" s="704">
        <v>3885</v>
      </c>
      <c r="B1473" s="704">
        <v>3885</v>
      </c>
      <c r="C1473" s="704" t="s">
        <v>582</v>
      </c>
      <c r="D1473" s="704" t="s">
        <v>541</v>
      </c>
      <c r="E1473" s="704">
        <v>1</v>
      </c>
      <c r="F1473" s="704">
        <v>100</v>
      </c>
      <c r="H1473">
        <f t="shared" si="108"/>
        <v>3885</v>
      </c>
      <c r="I1473" t="str">
        <f t="shared" si="109"/>
        <v>Rest of Vic.</v>
      </c>
    </row>
    <row r="1474" spans="1:9" x14ac:dyDescent="0.2">
      <c r="A1474" s="704">
        <v>3886</v>
      </c>
      <c r="B1474" s="704">
        <v>3886</v>
      </c>
      <c r="C1474" s="704" t="s">
        <v>582</v>
      </c>
      <c r="D1474" s="704" t="s">
        <v>541</v>
      </c>
      <c r="E1474" s="704">
        <v>1</v>
      </c>
      <c r="F1474" s="704">
        <v>100</v>
      </c>
      <c r="H1474">
        <f t="shared" si="108"/>
        <v>3886</v>
      </c>
      <c r="I1474" t="str">
        <f t="shared" si="109"/>
        <v>Rest of Vic.</v>
      </c>
    </row>
    <row r="1475" spans="1:9" x14ac:dyDescent="0.2">
      <c r="A1475" s="704">
        <v>3887</v>
      </c>
      <c r="B1475" s="704">
        <v>3887</v>
      </c>
      <c r="C1475" s="704" t="s">
        <v>582</v>
      </c>
      <c r="D1475" s="704" t="s">
        <v>541</v>
      </c>
      <c r="E1475" s="704">
        <v>1</v>
      </c>
      <c r="F1475" s="704">
        <v>100</v>
      </c>
      <c r="H1475">
        <f t="shared" si="108"/>
        <v>3887</v>
      </c>
      <c r="I1475" t="str">
        <f t="shared" si="109"/>
        <v>Rest of Vic.</v>
      </c>
    </row>
    <row r="1476" spans="1:9" x14ac:dyDescent="0.2">
      <c r="A1476" s="704">
        <v>3888</v>
      </c>
      <c r="B1476" s="704">
        <v>3888</v>
      </c>
      <c r="C1476" s="704" t="s">
        <v>582</v>
      </c>
      <c r="D1476" s="704" t="s">
        <v>541</v>
      </c>
      <c r="E1476" s="704">
        <v>1</v>
      </c>
      <c r="F1476" s="704">
        <v>100</v>
      </c>
      <c r="H1476">
        <f t="shared" si="108"/>
        <v>3888</v>
      </c>
      <c r="I1476" t="str">
        <f t="shared" si="109"/>
        <v>Rest of Vic.</v>
      </c>
    </row>
    <row r="1477" spans="1:9" x14ac:dyDescent="0.2">
      <c r="A1477" s="704">
        <v>3889</v>
      </c>
      <c r="B1477" s="704">
        <v>3889</v>
      </c>
      <c r="C1477" s="704" t="s">
        <v>582</v>
      </c>
      <c r="D1477" s="704" t="s">
        <v>541</v>
      </c>
      <c r="E1477" s="704">
        <v>1</v>
      </c>
      <c r="F1477" s="704">
        <v>100</v>
      </c>
      <c r="H1477">
        <f t="shared" si="108"/>
        <v>3889</v>
      </c>
      <c r="I1477" t="str">
        <f t="shared" si="109"/>
        <v>Rest of Vic.</v>
      </c>
    </row>
    <row r="1478" spans="1:9" x14ac:dyDescent="0.2">
      <c r="A1478" s="704">
        <v>3890</v>
      </c>
      <c r="B1478" s="704">
        <v>3890</v>
      </c>
      <c r="C1478" s="704" t="s">
        <v>582</v>
      </c>
      <c r="D1478" s="704" t="s">
        <v>541</v>
      </c>
      <c r="E1478" s="704">
        <v>1</v>
      </c>
      <c r="F1478" s="704">
        <v>100</v>
      </c>
      <c r="H1478">
        <f t="shared" si="108"/>
        <v>3890</v>
      </c>
      <c r="I1478" t="str">
        <f t="shared" si="109"/>
        <v>Rest of Vic.</v>
      </c>
    </row>
    <row r="1479" spans="1:9" x14ac:dyDescent="0.2">
      <c r="A1479" s="704">
        <v>3891</v>
      </c>
      <c r="B1479" s="704">
        <v>3891</v>
      </c>
      <c r="C1479" s="704" t="s">
        <v>582</v>
      </c>
      <c r="D1479" s="704" t="s">
        <v>541</v>
      </c>
      <c r="E1479" s="704">
        <v>1</v>
      </c>
      <c r="F1479" s="704">
        <v>100</v>
      </c>
      <c r="H1479">
        <f t="shared" si="108"/>
        <v>3891</v>
      </c>
      <c r="I1479" t="str">
        <f t="shared" si="109"/>
        <v>Rest of Vic.</v>
      </c>
    </row>
    <row r="1480" spans="1:9" x14ac:dyDescent="0.2">
      <c r="A1480" s="704">
        <v>3892</v>
      </c>
      <c r="B1480" s="704">
        <v>3892</v>
      </c>
      <c r="C1480" s="704" t="s">
        <v>582</v>
      </c>
      <c r="D1480" s="704" t="s">
        <v>541</v>
      </c>
      <c r="E1480" s="704">
        <v>1</v>
      </c>
      <c r="F1480" s="704">
        <v>100</v>
      </c>
      <c r="H1480">
        <f t="shared" si="108"/>
        <v>3892</v>
      </c>
      <c r="I1480" t="str">
        <f t="shared" si="109"/>
        <v>Rest of Vic.</v>
      </c>
    </row>
    <row r="1481" spans="1:9" x14ac:dyDescent="0.2">
      <c r="A1481" s="704">
        <v>3893</v>
      </c>
      <c r="B1481" s="704">
        <v>3893</v>
      </c>
      <c r="C1481" s="704" t="s">
        <v>582</v>
      </c>
      <c r="D1481" s="704" t="s">
        <v>541</v>
      </c>
      <c r="E1481" s="704">
        <v>1</v>
      </c>
      <c r="F1481" s="704">
        <v>100</v>
      </c>
      <c r="H1481">
        <f t="shared" si="108"/>
        <v>3893</v>
      </c>
      <c r="I1481" t="str">
        <f t="shared" si="109"/>
        <v>Rest of Vic.</v>
      </c>
    </row>
    <row r="1482" spans="1:9" x14ac:dyDescent="0.2">
      <c r="A1482" s="704">
        <v>3895</v>
      </c>
      <c r="B1482" s="704">
        <v>3895</v>
      </c>
      <c r="C1482" s="704" t="s">
        <v>582</v>
      </c>
      <c r="D1482" s="704" t="s">
        <v>541</v>
      </c>
      <c r="E1482" s="704">
        <v>1</v>
      </c>
      <c r="F1482" s="704">
        <v>100</v>
      </c>
      <c r="H1482">
        <f t="shared" si="108"/>
        <v>3895</v>
      </c>
      <c r="I1482" t="str">
        <f t="shared" si="109"/>
        <v>Rest of Vic.</v>
      </c>
    </row>
    <row r="1483" spans="1:9" x14ac:dyDescent="0.2">
      <c r="A1483" s="704">
        <v>3896</v>
      </c>
      <c r="B1483" s="704">
        <v>3896</v>
      </c>
      <c r="C1483" s="704" t="s">
        <v>582</v>
      </c>
      <c r="D1483" s="704" t="s">
        <v>541</v>
      </c>
      <c r="E1483" s="704">
        <v>1</v>
      </c>
      <c r="F1483" s="704">
        <v>100</v>
      </c>
      <c r="H1483">
        <f t="shared" si="108"/>
        <v>3896</v>
      </c>
      <c r="I1483" t="str">
        <f t="shared" si="109"/>
        <v>Rest of Vic.</v>
      </c>
    </row>
    <row r="1484" spans="1:9" x14ac:dyDescent="0.2">
      <c r="A1484" s="704">
        <v>3898</v>
      </c>
      <c r="B1484" s="704">
        <v>3898</v>
      </c>
      <c r="C1484" s="704" t="s">
        <v>582</v>
      </c>
      <c r="D1484" s="704" t="s">
        <v>541</v>
      </c>
      <c r="E1484" s="704">
        <v>1</v>
      </c>
      <c r="F1484" s="704">
        <v>100</v>
      </c>
      <c r="H1484">
        <f t="shared" si="108"/>
        <v>3898</v>
      </c>
      <c r="I1484" t="str">
        <f t="shared" si="109"/>
        <v>Rest of Vic.</v>
      </c>
    </row>
    <row r="1485" spans="1:9" x14ac:dyDescent="0.2">
      <c r="A1485" s="704">
        <v>3900</v>
      </c>
      <c r="B1485" s="704">
        <v>3900</v>
      </c>
      <c r="C1485" s="704" t="s">
        <v>582</v>
      </c>
      <c r="D1485" s="704" t="s">
        <v>541</v>
      </c>
      <c r="E1485" s="704">
        <v>1</v>
      </c>
      <c r="F1485" s="704">
        <v>100</v>
      </c>
      <c r="H1485">
        <f t="shared" si="108"/>
        <v>3900</v>
      </c>
      <c r="I1485" t="str">
        <f t="shared" si="109"/>
        <v>Rest of Vic.</v>
      </c>
    </row>
    <row r="1486" spans="1:9" x14ac:dyDescent="0.2">
      <c r="A1486" s="704">
        <v>3902</v>
      </c>
      <c r="B1486" s="704">
        <v>3902</v>
      </c>
      <c r="C1486" s="704" t="s">
        <v>582</v>
      </c>
      <c r="D1486" s="704" t="s">
        <v>541</v>
      </c>
      <c r="E1486" s="704">
        <v>1</v>
      </c>
      <c r="F1486" s="704">
        <v>100</v>
      </c>
      <c r="H1486">
        <f t="shared" si="108"/>
        <v>3902</v>
      </c>
      <c r="I1486" t="str">
        <f t="shared" si="109"/>
        <v>Rest of Vic.</v>
      </c>
    </row>
    <row r="1487" spans="1:9" x14ac:dyDescent="0.2">
      <c r="A1487" s="704">
        <v>3903</v>
      </c>
      <c r="B1487" s="704">
        <v>3903</v>
      </c>
      <c r="C1487" s="704" t="s">
        <v>582</v>
      </c>
      <c r="D1487" s="704" t="s">
        <v>541</v>
      </c>
      <c r="E1487" s="704">
        <v>1</v>
      </c>
      <c r="F1487" s="704">
        <v>100</v>
      </c>
      <c r="H1487">
        <f t="shared" si="108"/>
        <v>3903</v>
      </c>
      <c r="I1487" t="str">
        <f t="shared" si="109"/>
        <v>Rest of Vic.</v>
      </c>
    </row>
    <row r="1488" spans="1:9" x14ac:dyDescent="0.2">
      <c r="A1488" s="704">
        <v>3904</v>
      </c>
      <c r="B1488" s="704">
        <v>3904</v>
      </c>
      <c r="C1488" s="704" t="s">
        <v>582</v>
      </c>
      <c r="D1488" s="704" t="s">
        <v>541</v>
      </c>
      <c r="E1488" s="704">
        <v>1</v>
      </c>
      <c r="F1488" s="704">
        <v>100</v>
      </c>
      <c r="H1488">
        <f t="shared" si="108"/>
        <v>3904</v>
      </c>
      <c r="I1488" t="str">
        <f t="shared" si="109"/>
        <v>Rest of Vic.</v>
      </c>
    </row>
    <row r="1489" spans="1:9" x14ac:dyDescent="0.2">
      <c r="A1489" s="704">
        <v>3909</v>
      </c>
      <c r="B1489" s="704">
        <v>3909</v>
      </c>
      <c r="C1489" s="704" t="s">
        <v>582</v>
      </c>
      <c r="D1489" s="704" t="s">
        <v>541</v>
      </c>
      <c r="E1489" s="704">
        <v>0.99969600000000003</v>
      </c>
      <c r="F1489" s="704">
        <v>99.9696</v>
      </c>
      <c r="H1489">
        <f t="shared" si="108"/>
        <v>3909</v>
      </c>
      <c r="I1489" t="str">
        <f t="shared" si="109"/>
        <v>Rest of Vic.</v>
      </c>
    </row>
    <row r="1490" spans="1:9" x14ac:dyDescent="0.2">
      <c r="A1490" s="704">
        <v>3910</v>
      </c>
      <c r="B1490" s="704">
        <v>3910</v>
      </c>
      <c r="C1490" s="704" t="s">
        <v>583</v>
      </c>
      <c r="D1490" s="704" t="s">
        <v>544</v>
      </c>
      <c r="E1490" s="704">
        <v>1</v>
      </c>
      <c r="F1490" s="704">
        <v>100</v>
      </c>
      <c r="H1490">
        <f t="shared" si="108"/>
        <v>3910</v>
      </c>
      <c r="I1490" t="str">
        <f t="shared" si="109"/>
        <v>Greater Melbourne</v>
      </c>
    </row>
    <row r="1491" spans="1:9" x14ac:dyDescent="0.2">
      <c r="A1491" s="704">
        <v>3911</v>
      </c>
      <c r="B1491" s="704">
        <v>3911</v>
      </c>
      <c r="C1491" s="704" t="s">
        <v>583</v>
      </c>
      <c r="D1491" s="704" t="s">
        <v>544</v>
      </c>
      <c r="E1491" s="704">
        <v>1</v>
      </c>
      <c r="F1491" s="704">
        <v>100</v>
      </c>
      <c r="H1491">
        <f t="shared" si="108"/>
        <v>3911</v>
      </c>
      <c r="I1491" t="str">
        <f t="shared" si="109"/>
        <v>Greater Melbourne</v>
      </c>
    </row>
    <row r="1492" spans="1:9" x14ac:dyDescent="0.2">
      <c r="A1492" s="704">
        <v>3912</v>
      </c>
      <c r="B1492" s="704">
        <v>3912</v>
      </c>
      <c r="C1492" s="704" t="s">
        <v>583</v>
      </c>
      <c r="D1492" s="704" t="s">
        <v>544</v>
      </c>
      <c r="E1492" s="704">
        <v>0.99952700000000005</v>
      </c>
      <c r="F1492" s="704">
        <v>99.952699999999993</v>
      </c>
      <c r="H1492">
        <f t="shared" si="108"/>
        <v>3912</v>
      </c>
      <c r="I1492" t="str">
        <f t="shared" si="109"/>
        <v>Greater Melbourne</v>
      </c>
    </row>
    <row r="1493" spans="1:9" x14ac:dyDescent="0.2">
      <c r="A1493" s="704">
        <v>3913</v>
      </c>
      <c r="B1493" s="704">
        <v>3913</v>
      </c>
      <c r="C1493" s="704" t="s">
        <v>583</v>
      </c>
      <c r="D1493" s="704" t="s">
        <v>544</v>
      </c>
      <c r="E1493" s="704">
        <v>1</v>
      </c>
      <c r="F1493" s="704">
        <v>100</v>
      </c>
      <c r="H1493">
        <f t="shared" si="108"/>
        <v>3913</v>
      </c>
      <c r="I1493" t="str">
        <f t="shared" si="109"/>
        <v>Greater Melbourne</v>
      </c>
    </row>
    <row r="1494" spans="1:9" x14ac:dyDescent="0.2">
      <c r="A1494" s="704">
        <v>3915</v>
      </c>
      <c r="B1494" s="704">
        <v>3915</v>
      </c>
      <c r="C1494" s="704" t="s">
        <v>583</v>
      </c>
      <c r="D1494" s="704" t="s">
        <v>544</v>
      </c>
      <c r="E1494" s="704">
        <v>1</v>
      </c>
      <c r="F1494" s="704">
        <v>100</v>
      </c>
      <c r="H1494">
        <f t="shared" si="108"/>
        <v>3915</v>
      </c>
      <c r="I1494" t="str">
        <f t="shared" si="109"/>
        <v>Greater Melbourne</v>
      </c>
    </row>
    <row r="1495" spans="1:9" x14ac:dyDescent="0.2">
      <c r="A1495" s="704">
        <v>3916</v>
      </c>
      <c r="B1495" s="704">
        <v>3916</v>
      </c>
      <c r="C1495" s="704" t="s">
        <v>583</v>
      </c>
      <c r="D1495" s="704" t="s">
        <v>544</v>
      </c>
      <c r="E1495" s="704">
        <v>1</v>
      </c>
      <c r="F1495" s="704">
        <v>100</v>
      </c>
      <c r="H1495">
        <f t="shared" si="108"/>
        <v>3916</v>
      </c>
      <c r="I1495" t="str">
        <f t="shared" si="109"/>
        <v>Greater Melbourne</v>
      </c>
    </row>
    <row r="1496" spans="1:9" x14ac:dyDescent="0.2">
      <c r="A1496" s="704">
        <v>3918</v>
      </c>
      <c r="B1496" s="704">
        <v>3918</v>
      </c>
      <c r="C1496" s="704" t="s">
        <v>583</v>
      </c>
      <c r="D1496" s="704" t="s">
        <v>544</v>
      </c>
      <c r="E1496" s="704">
        <v>1</v>
      </c>
      <c r="F1496" s="704">
        <v>100</v>
      </c>
      <c r="H1496">
        <f t="shared" si="108"/>
        <v>3918</v>
      </c>
      <c r="I1496" t="str">
        <f t="shared" si="109"/>
        <v>Greater Melbourne</v>
      </c>
    </row>
    <row r="1497" spans="1:9" x14ac:dyDescent="0.2">
      <c r="A1497" s="704">
        <v>3919</v>
      </c>
      <c r="B1497" s="704">
        <v>3919</v>
      </c>
      <c r="C1497" s="704" t="s">
        <v>583</v>
      </c>
      <c r="D1497" s="704" t="s">
        <v>544</v>
      </c>
      <c r="E1497" s="704">
        <v>1</v>
      </c>
      <c r="F1497" s="704">
        <v>100</v>
      </c>
      <c r="H1497">
        <f t="shared" si="108"/>
        <v>3919</v>
      </c>
      <c r="I1497" t="str">
        <f t="shared" si="109"/>
        <v>Greater Melbourne</v>
      </c>
    </row>
    <row r="1498" spans="1:9" x14ac:dyDescent="0.2">
      <c r="A1498" s="704">
        <v>3920</v>
      </c>
      <c r="B1498" s="704">
        <v>3920</v>
      </c>
      <c r="C1498" s="704" t="s">
        <v>583</v>
      </c>
      <c r="D1498" s="704" t="s">
        <v>544</v>
      </c>
      <c r="E1498" s="704">
        <v>0.97944799999999999</v>
      </c>
      <c r="F1498" s="704">
        <v>97.944800000000001</v>
      </c>
      <c r="H1498">
        <f t="shared" si="108"/>
        <v>3920</v>
      </c>
      <c r="I1498" t="str">
        <f t="shared" si="109"/>
        <v>Greater Melbourne</v>
      </c>
    </row>
    <row r="1499" spans="1:9" x14ac:dyDescent="0.2">
      <c r="A1499" s="704">
        <v>3921</v>
      </c>
      <c r="B1499" s="704">
        <v>3921</v>
      </c>
      <c r="C1499" s="704" t="s">
        <v>582</v>
      </c>
      <c r="D1499" s="704" t="s">
        <v>541</v>
      </c>
      <c r="E1499" s="704">
        <v>0.98388399999999998</v>
      </c>
      <c r="F1499" s="704">
        <v>98.388400000000004</v>
      </c>
      <c r="H1499">
        <f t="shared" si="108"/>
        <v>3921</v>
      </c>
      <c r="I1499" t="str">
        <f t="shared" si="109"/>
        <v>Rest of Vic.</v>
      </c>
    </row>
    <row r="1500" spans="1:9" x14ac:dyDescent="0.2">
      <c r="A1500" s="704">
        <v>3922</v>
      </c>
      <c r="B1500" s="704">
        <v>3922</v>
      </c>
      <c r="C1500" s="704" t="s">
        <v>582</v>
      </c>
      <c r="D1500" s="704" t="s">
        <v>541</v>
      </c>
      <c r="E1500" s="704">
        <v>0.99999000000000005</v>
      </c>
      <c r="F1500" s="704">
        <v>99.998999999999995</v>
      </c>
      <c r="H1500">
        <f t="shared" si="108"/>
        <v>3922</v>
      </c>
      <c r="I1500" t="str">
        <f t="shared" si="109"/>
        <v>Rest of Vic.</v>
      </c>
    </row>
    <row r="1501" spans="1:9" x14ac:dyDescent="0.2">
      <c r="A1501" s="704">
        <v>3923</v>
      </c>
      <c r="B1501" s="704">
        <v>3923</v>
      </c>
      <c r="C1501" s="704" t="s">
        <v>582</v>
      </c>
      <c r="D1501" s="704" t="s">
        <v>541</v>
      </c>
      <c r="E1501" s="704">
        <v>0.99458899999999995</v>
      </c>
      <c r="F1501" s="704">
        <v>99.4589</v>
      </c>
      <c r="H1501">
        <f t="shared" si="108"/>
        <v>3923</v>
      </c>
      <c r="I1501" t="str">
        <f t="shared" si="109"/>
        <v>Rest of Vic.</v>
      </c>
    </row>
    <row r="1502" spans="1:9" x14ac:dyDescent="0.2">
      <c r="A1502" s="704">
        <v>3925</v>
      </c>
      <c r="B1502" s="704">
        <v>3925</v>
      </c>
      <c r="C1502" s="704" t="s">
        <v>582</v>
      </c>
      <c r="D1502" s="704" t="s">
        <v>541</v>
      </c>
      <c r="E1502" s="704">
        <v>0.99962200000000001</v>
      </c>
      <c r="F1502" s="704">
        <v>99.962199999999996</v>
      </c>
      <c r="H1502">
        <f t="shared" si="108"/>
        <v>3925</v>
      </c>
      <c r="I1502" t="str">
        <f t="shared" si="109"/>
        <v>Rest of Vic.</v>
      </c>
    </row>
    <row r="1503" spans="1:9" x14ac:dyDescent="0.2">
      <c r="A1503" s="704">
        <v>3926</v>
      </c>
      <c r="B1503" s="704">
        <v>3926</v>
      </c>
      <c r="C1503" s="704" t="s">
        <v>583</v>
      </c>
      <c r="D1503" s="704" t="s">
        <v>544</v>
      </c>
      <c r="E1503" s="704">
        <v>1</v>
      </c>
      <c r="F1503" s="704">
        <v>100</v>
      </c>
      <c r="H1503">
        <f t="shared" si="108"/>
        <v>3926</v>
      </c>
      <c r="I1503" t="str">
        <f t="shared" si="109"/>
        <v>Greater Melbourne</v>
      </c>
    </row>
    <row r="1504" spans="1:9" x14ac:dyDescent="0.2">
      <c r="A1504" s="704">
        <v>3927</v>
      </c>
      <c r="B1504" s="704">
        <v>3927</v>
      </c>
      <c r="C1504" s="704" t="s">
        <v>583</v>
      </c>
      <c r="D1504" s="704" t="s">
        <v>544</v>
      </c>
      <c r="E1504" s="704">
        <v>1</v>
      </c>
      <c r="F1504" s="704">
        <v>99.999899999999997</v>
      </c>
      <c r="H1504">
        <f t="shared" si="108"/>
        <v>3927</v>
      </c>
      <c r="I1504" t="str">
        <f t="shared" si="109"/>
        <v>Greater Melbourne</v>
      </c>
    </row>
    <row r="1505" spans="1:9" x14ac:dyDescent="0.2">
      <c r="A1505" s="704">
        <v>3928</v>
      </c>
      <c r="B1505" s="704">
        <v>3928</v>
      </c>
      <c r="C1505" s="704" t="s">
        <v>583</v>
      </c>
      <c r="D1505" s="704" t="s">
        <v>544</v>
      </c>
      <c r="E1505" s="704">
        <v>1</v>
      </c>
      <c r="F1505" s="704">
        <v>100</v>
      </c>
      <c r="H1505">
        <f t="shared" si="108"/>
        <v>3928</v>
      </c>
      <c r="I1505" t="str">
        <f t="shared" si="109"/>
        <v>Greater Melbourne</v>
      </c>
    </row>
    <row r="1506" spans="1:9" x14ac:dyDescent="0.2">
      <c r="A1506" s="704">
        <v>3929</v>
      </c>
      <c r="B1506" s="704">
        <v>3929</v>
      </c>
      <c r="C1506" s="704" t="s">
        <v>583</v>
      </c>
      <c r="D1506" s="704" t="s">
        <v>544</v>
      </c>
      <c r="E1506" s="704">
        <v>0.99999700000000002</v>
      </c>
      <c r="F1506" s="704">
        <v>99.999700000000004</v>
      </c>
      <c r="H1506">
        <f t="shared" si="108"/>
        <v>3929</v>
      </c>
      <c r="I1506" t="str">
        <f t="shared" si="109"/>
        <v>Greater Melbourne</v>
      </c>
    </row>
    <row r="1507" spans="1:9" x14ac:dyDescent="0.2">
      <c r="A1507" s="704">
        <v>3930</v>
      </c>
      <c r="B1507" s="704">
        <v>3930</v>
      </c>
      <c r="C1507" s="704" t="s">
        <v>583</v>
      </c>
      <c r="D1507" s="704" t="s">
        <v>544</v>
      </c>
      <c r="E1507" s="704">
        <v>1</v>
      </c>
      <c r="F1507" s="704">
        <v>100</v>
      </c>
      <c r="H1507">
        <f t="shared" si="108"/>
        <v>3930</v>
      </c>
      <c r="I1507" t="str">
        <f t="shared" si="109"/>
        <v>Greater Melbourne</v>
      </c>
    </row>
    <row r="1508" spans="1:9" x14ac:dyDescent="0.2">
      <c r="A1508" s="704">
        <v>3931</v>
      </c>
      <c r="B1508" s="704">
        <v>3931</v>
      </c>
      <c r="C1508" s="704" t="s">
        <v>583</v>
      </c>
      <c r="D1508" s="704" t="s">
        <v>544</v>
      </c>
      <c r="E1508" s="704">
        <v>0.99975199999999997</v>
      </c>
      <c r="F1508" s="704">
        <v>99.975200000000001</v>
      </c>
      <c r="H1508">
        <f t="shared" si="108"/>
        <v>3931</v>
      </c>
      <c r="I1508" t="str">
        <f t="shared" si="109"/>
        <v>Greater Melbourne</v>
      </c>
    </row>
    <row r="1509" spans="1:9" x14ac:dyDescent="0.2">
      <c r="A1509" s="704">
        <v>3933</v>
      </c>
      <c r="B1509" s="704">
        <v>3933</v>
      </c>
      <c r="C1509" s="704" t="s">
        <v>583</v>
      </c>
      <c r="D1509" s="704" t="s">
        <v>544</v>
      </c>
      <c r="E1509" s="704">
        <v>1</v>
      </c>
      <c r="F1509" s="704">
        <v>100</v>
      </c>
      <c r="H1509">
        <f t="shared" si="108"/>
        <v>3933</v>
      </c>
      <c r="I1509" t="str">
        <f t="shared" si="109"/>
        <v>Greater Melbourne</v>
      </c>
    </row>
    <row r="1510" spans="1:9" x14ac:dyDescent="0.2">
      <c r="A1510" s="704">
        <v>3934</v>
      </c>
      <c r="B1510" s="704">
        <v>3934</v>
      </c>
      <c r="C1510" s="704" t="s">
        <v>583</v>
      </c>
      <c r="D1510" s="704" t="s">
        <v>544</v>
      </c>
      <c r="E1510" s="704">
        <v>1</v>
      </c>
      <c r="F1510" s="704">
        <v>100</v>
      </c>
      <c r="H1510">
        <f t="shared" si="108"/>
        <v>3934</v>
      </c>
      <c r="I1510" t="str">
        <f t="shared" si="109"/>
        <v>Greater Melbourne</v>
      </c>
    </row>
    <row r="1511" spans="1:9" x14ac:dyDescent="0.2">
      <c r="A1511" s="704">
        <v>3936</v>
      </c>
      <c r="B1511" s="704">
        <v>3936</v>
      </c>
      <c r="C1511" s="704" t="s">
        <v>583</v>
      </c>
      <c r="D1511" s="704" t="s">
        <v>544</v>
      </c>
      <c r="E1511" s="704">
        <v>1</v>
      </c>
      <c r="F1511" s="704">
        <v>100</v>
      </c>
      <c r="H1511">
        <f t="shared" si="108"/>
        <v>3936</v>
      </c>
      <c r="I1511" t="str">
        <f t="shared" si="109"/>
        <v>Greater Melbourne</v>
      </c>
    </row>
    <row r="1512" spans="1:9" x14ac:dyDescent="0.2">
      <c r="A1512" s="704">
        <v>3937</v>
      </c>
      <c r="B1512" s="704">
        <v>3937</v>
      </c>
      <c r="C1512" s="704" t="s">
        <v>583</v>
      </c>
      <c r="D1512" s="704" t="s">
        <v>544</v>
      </c>
      <c r="E1512" s="704">
        <v>1</v>
      </c>
      <c r="F1512" s="704">
        <v>100</v>
      </c>
      <c r="H1512">
        <f t="shared" si="108"/>
        <v>3937</v>
      </c>
      <c r="I1512" t="str">
        <f t="shared" si="109"/>
        <v>Greater Melbourne</v>
      </c>
    </row>
    <row r="1513" spans="1:9" x14ac:dyDescent="0.2">
      <c r="A1513" s="704">
        <v>3938</v>
      </c>
      <c r="B1513" s="704">
        <v>3938</v>
      </c>
      <c r="C1513" s="704" t="s">
        <v>583</v>
      </c>
      <c r="D1513" s="704" t="s">
        <v>544</v>
      </c>
      <c r="E1513" s="704">
        <v>1</v>
      </c>
      <c r="F1513" s="704">
        <v>100</v>
      </c>
      <c r="H1513">
        <f t="shared" si="108"/>
        <v>3938</v>
      </c>
      <c r="I1513" t="str">
        <f t="shared" si="109"/>
        <v>Greater Melbourne</v>
      </c>
    </row>
    <row r="1514" spans="1:9" x14ac:dyDescent="0.2">
      <c r="A1514" s="704">
        <v>3939</v>
      </c>
      <c r="B1514" s="704">
        <v>3939</v>
      </c>
      <c r="C1514" s="704" t="s">
        <v>583</v>
      </c>
      <c r="D1514" s="704" t="s">
        <v>544</v>
      </c>
      <c r="E1514" s="704">
        <v>1</v>
      </c>
      <c r="F1514" s="704">
        <v>100</v>
      </c>
      <c r="H1514">
        <f t="shared" si="108"/>
        <v>3939</v>
      </c>
      <c r="I1514" t="str">
        <f t="shared" si="109"/>
        <v>Greater Melbourne</v>
      </c>
    </row>
    <row r="1515" spans="1:9" x14ac:dyDescent="0.2">
      <c r="A1515" s="704">
        <v>3940</v>
      </c>
      <c r="B1515" s="704">
        <v>3940</v>
      </c>
      <c r="C1515" s="704" t="s">
        <v>583</v>
      </c>
      <c r="D1515" s="704" t="s">
        <v>544</v>
      </c>
      <c r="E1515" s="704">
        <v>1</v>
      </c>
      <c r="F1515" s="704">
        <v>100</v>
      </c>
      <c r="H1515">
        <f t="shared" si="108"/>
        <v>3940</v>
      </c>
      <c r="I1515" t="str">
        <f t="shared" si="109"/>
        <v>Greater Melbourne</v>
      </c>
    </row>
    <row r="1516" spans="1:9" x14ac:dyDescent="0.2">
      <c r="A1516" s="704">
        <v>3941</v>
      </c>
      <c r="B1516" s="704">
        <v>3941</v>
      </c>
      <c r="C1516" s="704" t="s">
        <v>583</v>
      </c>
      <c r="D1516" s="704" t="s">
        <v>544</v>
      </c>
      <c r="E1516" s="704">
        <v>1</v>
      </c>
      <c r="F1516" s="704">
        <v>100</v>
      </c>
      <c r="H1516">
        <f t="shared" si="108"/>
        <v>3941</v>
      </c>
      <c r="I1516" t="str">
        <f t="shared" si="109"/>
        <v>Greater Melbourne</v>
      </c>
    </row>
    <row r="1517" spans="1:9" x14ac:dyDescent="0.2">
      <c r="A1517" s="704">
        <v>3942</v>
      </c>
      <c r="B1517" s="704">
        <v>3942</v>
      </c>
      <c r="C1517" s="704" t="s">
        <v>583</v>
      </c>
      <c r="D1517" s="704" t="s">
        <v>544</v>
      </c>
      <c r="E1517" s="704">
        <v>1</v>
      </c>
      <c r="F1517" s="704">
        <v>100</v>
      </c>
      <c r="H1517">
        <f t="shared" si="108"/>
        <v>3942</v>
      </c>
      <c r="I1517" t="str">
        <f t="shared" si="109"/>
        <v>Greater Melbourne</v>
      </c>
    </row>
    <row r="1518" spans="1:9" x14ac:dyDescent="0.2">
      <c r="A1518" s="704">
        <v>3943</v>
      </c>
      <c r="B1518" s="704">
        <v>3943</v>
      </c>
      <c r="C1518" s="704" t="s">
        <v>583</v>
      </c>
      <c r="D1518" s="704" t="s">
        <v>544</v>
      </c>
      <c r="E1518" s="704">
        <v>0.99999899999999997</v>
      </c>
      <c r="F1518" s="704">
        <v>99.999899999999997</v>
      </c>
      <c r="H1518">
        <f t="shared" si="108"/>
        <v>3943</v>
      </c>
      <c r="I1518" t="str">
        <f t="shared" si="109"/>
        <v>Greater Melbourne</v>
      </c>
    </row>
    <row r="1519" spans="1:9" x14ac:dyDescent="0.2">
      <c r="A1519" s="704">
        <v>3944</v>
      </c>
      <c r="B1519" s="704">
        <v>3944</v>
      </c>
      <c r="C1519" s="704" t="s">
        <v>583</v>
      </c>
      <c r="D1519" s="704" t="s">
        <v>544</v>
      </c>
      <c r="E1519" s="704">
        <v>0.99999899999999997</v>
      </c>
      <c r="F1519" s="704">
        <v>99.999899999999997</v>
      </c>
      <c r="H1519">
        <f t="shared" si="108"/>
        <v>3944</v>
      </c>
      <c r="I1519" t="str">
        <f t="shared" si="109"/>
        <v>Greater Melbourne</v>
      </c>
    </row>
    <row r="1520" spans="1:9" x14ac:dyDescent="0.2">
      <c r="A1520" s="704">
        <v>3945</v>
      </c>
      <c r="B1520" s="704">
        <v>3945</v>
      </c>
      <c r="C1520" s="704" t="s">
        <v>582</v>
      </c>
      <c r="D1520" s="704" t="s">
        <v>541</v>
      </c>
      <c r="E1520" s="704">
        <v>1</v>
      </c>
      <c r="F1520" s="704">
        <v>100</v>
      </c>
      <c r="H1520">
        <f t="shared" si="108"/>
        <v>3945</v>
      </c>
      <c r="I1520" t="str">
        <f t="shared" si="109"/>
        <v>Rest of Vic.</v>
      </c>
    </row>
    <row r="1521" spans="1:9" x14ac:dyDescent="0.2">
      <c r="A1521" s="704">
        <v>3946</v>
      </c>
      <c r="B1521" s="704">
        <v>3946</v>
      </c>
      <c r="C1521" s="704" t="s">
        <v>582</v>
      </c>
      <c r="D1521" s="704" t="s">
        <v>541</v>
      </c>
      <c r="E1521" s="704">
        <v>1</v>
      </c>
      <c r="F1521" s="704">
        <v>100</v>
      </c>
      <c r="H1521">
        <f t="shared" si="108"/>
        <v>3946</v>
      </c>
      <c r="I1521" t="str">
        <f t="shared" si="109"/>
        <v>Rest of Vic.</v>
      </c>
    </row>
    <row r="1522" spans="1:9" x14ac:dyDescent="0.2">
      <c r="A1522" s="704">
        <v>3950</v>
      </c>
      <c r="B1522" s="704">
        <v>3950</v>
      </c>
      <c r="C1522" s="704" t="s">
        <v>582</v>
      </c>
      <c r="D1522" s="704" t="s">
        <v>541</v>
      </c>
      <c r="E1522" s="704">
        <v>1</v>
      </c>
      <c r="F1522" s="704">
        <v>100</v>
      </c>
      <c r="H1522">
        <f t="shared" si="108"/>
        <v>3950</v>
      </c>
      <c r="I1522" t="str">
        <f t="shared" si="109"/>
        <v>Rest of Vic.</v>
      </c>
    </row>
    <row r="1523" spans="1:9" x14ac:dyDescent="0.2">
      <c r="A1523" s="704">
        <v>3951</v>
      </c>
      <c r="B1523" s="704">
        <v>3951</v>
      </c>
      <c r="C1523" s="704" t="s">
        <v>582</v>
      </c>
      <c r="D1523" s="704" t="s">
        <v>541</v>
      </c>
      <c r="E1523" s="704">
        <v>1</v>
      </c>
      <c r="F1523" s="704">
        <v>100</v>
      </c>
      <c r="H1523">
        <f t="shared" si="108"/>
        <v>3951</v>
      </c>
      <c r="I1523" t="str">
        <f t="shared" si="109"/>
        <v>Rest of Vic.</v>
      </c>
    </row>
    <row r="1524" spans="1:9" x14ac:dyDescent="0.2">
      <c r="A1524" s="704">
        <v>3953</v>
      </c>
      <c r="B1524" s="704">
        <v>3953</v>
      </c>
      <c r="C1524" s="704" t="s">
        <v>582</v>
      </c>
      <c r="D1524" s="704" t="s">
        <v>541</v>
      </c>
      <c r="E1524" s="704">
        <v>1</v>
      </c>
      <c r="F1524" s="704">
        <v>100</v>
      </c>
      <c r="H1524">
        <f t="shared" si="108"/>
        <v>3953</v>
      </c>
      <c r="I1524" t="str">
        <f t="shared" si="109"/>
        <v>Rest of Vic.</v>
      </c>
    </row>
    <row r="1525" spans="1:9" x14ac:dyDescent="0.2">
      <c r="A1525" s="704">
        <v>3954</v>
      </c>
      <c r="B1525" s="704">
        <v>3954</v>
      </c>
      <c r="C1525" s="704" t="s">
        <v>582</v>
      </c>
      <c r="D1525" s="704" t="s">
        <v>541</v>
      </c>
      <c r="E1525" s="704">
        <v>1</v>
      </c>
      <c r="F1525" s="704">
        <v>100</v>
      </c>
      <c r="H1525">
        <f t="shared" si="108"/>
        <v>3954</v>
      </c>
      <c r="I1525" t="str">
        <f t="shared" si="109"/>
        <v>Rest of Vic.</v>
      </c>
    </row>
    <row r="1526" spans="1:9" x14ac:dyDescent="0.2">
      <c r="A1526" s="704">
        <v>3956</v>
      </c>
      <c r="B1526" s="704">
        <v>3956</v>
      </c>
      <c r="C1526" s="704" t="s">
        <v>582</v>
      </c>
      <c r="D1526" s="704" t="s">
        <v>541</v>
      </c>
      <c r="E1526" s="704">
        <v>0.999749</v>
      </c>
      <c r="F1526" s="704">
        <v>99.974900000000005</v>
      </c>
      <c r="H1526">
        <f t="shared" si="108"/>
        <v>3956</v>
      </c>
      <c r="I1526" t="str">
        <f t="shared" si="109"/>
        <v>Rest of Vic.</v>
      </c>
    </row>
    <row r="1527" spans="1:9" x14ac:dyDescent="0.2">
      <c r="A1527" s="704">
        <v>3957</v>
      </c>
      <c r="B1527" s="704">
        <v>3957</v>
      </c>
      <c r="C1527" s="704" t="s">
        <v>582</v>
      </c>
      <c r="D1527" s="704" t="s">
        <v>541</v>
      </c>
      <c r="E1527" s="704">
        <v>1</v>
      </c>
      <c r="F1527" s="704">
        <v>100</v>
      </c>
      <c r="H1527">
        <f t="shared" si="108"/>
        <v>3957</v>
      </c>
      <c r="I1527" t="str">
        <f t="shared" si="109"/>
        <v>Rest of Vic.</v>
      </c>
    </row>
    <row r="1528" spans="1:9" x14ac:dyDescent="0.2">
      <c r="A1528" s="704">
        <v>3958</v>
      </c>
      <c r="B1528" s="704">
        <v>3958</v>
      </c>
      <c r="C1528" s="704" t="s">
        <v>582</v>
      </c>
      <c r="D1528" s="704" t="s">
        <v>541</v>
      </c>
      <c r="E1528" s="704">
        <v>1</v>
      </c>
      <c r="F1528" s="704">
        <v>100</v>
      </c>
      <c r="H1528">
        <f t="shared" si="108"/>
        <v>3958</v>
      </c>
      <c r="I1528" t="str">
        <f t="shared" si="109"/>
        <v>Rest of Vic.</v>
      </c>
    </row>
    <row r="1529" spans="1:9" x14ac:dyDescent="0.2">
      <c r="A1529" s="704">
        <v>3959</v>
      </c>
      <c r="B1529" s="704">
        <v>3959</v>
      </c>
      <c r="C1529" s="704" t="s">
        <v>582</v>
      </c>
      <c r="D1529" s="704" t="s">
        <v>541</v>
      </c>
      <c r="E1529" s="704">
        <v>1</v>
      </c>
      <c r="F1529" s="704">
        <v>100</v>
      </c>
      <c r="H1529">
        <f t="shared" ref="H1529:H1592" si="110">A1529*1</f>
        <v>3959</v>
      </c>
      <c r="I1529" t="str">
        <f t="shared" ref="I1529:I1592" si="111">D1529</f>
        <v>Rest of Vic.</v>
      </c>
    </row>
    <row r="1530" spans="1:9" x14ac:dyDescent="0.2">
      <c r="A1530" s="704">
        <v>3960</v>
      </c>
      <c r="B1530" s="704">
        <v>3960</v>
      </c>
      <c r="C1530" s="704" t="s">
        <v>582</v>
      </c>
      <c r="D1530" s="704" t="s">
        <v>541</v>
      </c>
      <c r="E1530" s="704">
        <v>0.99955000000000005</v>
      </c>
      <c r="F1530" s="704">
        <v>99.954999999999998</v>
      </c>
      <c r="H1530">
        <f t="shared" si="110"/>
        <v>3960</v>
      </c>
      <c r="I1530" t="str">
        <f t="shared" si="111"/>
        <v>Rest of Vic.</v>
      </c>
    </row>
    <row r="1531" spans="1:9" x14ac:dyDescent="0.2">
      <c r="A1531" s="704">
        <v>3962</v>
      </c>
      <c r="B1531" s="704">
        <v>3962</v>
      </c>
      <c r="C1531" s="704" t="s">
        <v>582</v>
      </c>
      <c r="D1531" s="704" t="s">
        <v>541</v>
      </c>
      <c r="E1531" s="704">
        <v>0.99914800000000004</v>
      </c>
      <c r="F1531" s="704">
        <v>99.9148</v>
      </c>
      <c r="H1531">
        <f t="shared" si="110"/>
        <v>3962</v>
      </c>
      <c r="I1531" t="str">
        <f t="shared" si="111"/>
        <v>Rest of Vic.</v>
      </c>
    </row>
    <row r="1532" spans="1:9" x14ac:dyDescent="0.2">
      <c r="A1532" s="704">
        <v>3964</v>
      </c>
      <c r="B1532" s="704">
        <v>3964</v>
      </c>
      <c r="C1532" s="704" t="s">
        <v>582</v>
      </c>
      <c r="D1532" s="704" t="s">
        <v>541</v>
      </c>
      <c r="E1532" s="704">
        <v>1</v>
      </c>
      <c r="F1532" s="704">
        <v>100</v>
      </c>
      <c r="H1532">
        <f t="shared" si="110"/>
        <v>3964</v>
      </c>
      <c r="I1532" t="str">
        <f t="shared" si="111"/>
        <v>Rest of Vic.</v>
      </c>
    </row>
    <row r="1533" spans="1:9" x14ac:dyDescent="0.2">
      <c r="A1533" s="704">
        <v>3965</v>
      </c>
      <c r="B1533" s="704">
        <v>3965</v>
      </c>
      <c r="C1533" s="704" t="s">
        <v>582</v>
      </c>
      <c r="D1533" s="704" t="s">
        <v>541</v>
      </c>
      <c r="E1533" s="704">
        <v>0.998915</v>
      </c>
      <c r="F1533" s="704">
        <v>99.891499999999994</v>
      </c>
      <c r="H1533">
        <f t="shared" si="110"/>
        <v>3965</v>
      </c>
      <c r="I1533" t="str">
        <f t="shared" si="111"/>
        <v>Rest of Vic.</v>
      </c>
    </row>
    <row r="1534" spans="1:9" x14ac:dyDescent="0.2">
      <c r="A1534" s="704">
        <v>3966</v>
      </c>
      <c r="B1534" s="704">
        <v>3966</v>
      </c>
      <c r="C1534" s="704" t="s">
        <v>582</v>
      </c>
      <c r="D1534" s="704" t="s">
        <v>541</v>
      </c>
      <c r="E1534" s="704">
        <v>1</v>
      </c>
      <c r="F1534" s="704">
        <v>100</v>
      </c>
      <c r="H1534">
        <f t="shared" si="110"/>
        <v>3966</v>
      </c>
      <c r="I1534" t="str">
        <f t="shared" si="111"/>
        <v>Rest of Vic.</v>
      </c>
    </row>
    <row r="1535" spans="1:9" x14ac:dyDescent="0.2">
      <c r="A1535" s="704">
        <v>3967</v>
      </c>
      <c r="B1535" s="704">
        <v>3967</v>
      </c>
      <c r="C1535" s="704" t="s">
        <v>582</v>
      </c>
      <c r="D1535" s="704" t="s">
        <v>541</v>
      </c>
      <c r="E1535" s="704">
        <v>0.99990500000000004</v>
      </c>
      <c r="F1535" s="704">
        <v>99.990499999999997</v>
      </c>
      <c r="H1535">
        <f t="shared" si="110"/>
        <v>3967</v>
      </c>
      <c r="I1535" t="str">
        <f t="shared" si="111"/>
        <v>Rest of Vic.</v>
      </c>
    </row>
    <row r="1536" spans="1:9" x14ac:dyDescent="0.2">
      <c r="A1536" s="704">
        <v>3971</v>
      </c>
      <c r="B1536" s="704">
        <v>3971</v>
      </c>
      <c r="C1536" s="704" t="s">
        <v>582</v>
      </c>
      <c r="D1536" s="704" t="s">
        <v>541</v>
      </c>
      <c r="E1536" s="704">
        <v>0.99683699999999997</v>
      </c>
      <c r="F1536" s="704">
        <v>99.683700000000002</v>
      </c>
      <c r="H1536">
        <f t="shared" si="110"/>
        <v>3971</v>
      </c>
      <c r="I1536" t="str">
        <f t="shared" si="111"/>
        <v>Rest of Vic.</v>
      </c>
    </row>
    <row r="1537" spans="1:9" x14ac:dyDescent="0.2">
      <c r="A1537" s="704">
        <v>3975</v>
      </c>
      <c r="B1537" s="704">
        <v>3975</v>
      </c>
      <c r="C1537" s="704" t="s">
        <v>583</v>
      </c>
      <c r="D1537" s="704" t="s">
        <v>544</v>
      </c>
      <c r="E1537" s="704">
        <v>1</v>
      </c>
      <c r="F1537" s="704">
        <v>100</v>
      </c>
      <c r="H1537">
        <f t="shared" si="110"/>
        <v>3975</v>
      </c>
      <c r="I1537" t="str">
        <f t="shared" si="111"/>
        <v>Greater Melbourne</v>
      </c>
    </row>
    <row r="1538" spans="1:9" x14ac:dyDescent="0.2">
      <c r="A1538" s="704">
        <v>3976</v>
      </c>
      <c r="B1538" s="704">
        <v>3976</v>
      </c>
      <c r="C1538" s="704" t="s">
        <v>583</v>
      </c>
      <c r="D1538" s="704" t="s">
        <v>544</v>
      </c>
      <c r="E1538" s="704">
        <v>1</v>
      </c>
      <c r="F1538" s="704">
        <v>100</v>
      </c>
      <c r="H1538">
        <f t="shared" si="110"/>
        <v>3976</v>
      </c>
      <c r="I1538" t="str">
        <f t="shared" si="111"/>
        <v>Greater Melbourne</v>
      </c>
    </row>
    <row r="1539" spans="1:9" x14ac:dyDescent="0.2">
      <c r="A1539" s="704">
        <v>3977</v>
      </c>
      <c r="B1539" s="704">
        <v>3977</v>
      </c>
      <c r="C1539" s="704" t="s">
        <v>583</v>
      </c>
      <c r="D1539" s="704" t="s">
        <v>544</v>
      </c>
      <c r="E1539" s="704">
        <v>1</v>
      </c>
      <c r="F1539" s="704">
        <v>100</v>
      </c>
      <c r="H1539">
        <f t="shared" si="110"/>
        <v>3977</v>
      </c>
      <c r="I1539" t="str">
        <f t="shared" si="111"/>
        <v>Greater Melbourne</v>
      </c>
    </row>
    <row r="1540" spans="1:9" x14ac:dyDescent="0.2">
      <c r="A1540" s="704">
        <v>3978</v>
      </c>
      <c r="B1540" s="704">
        <v>3978</v>
      </c>
      <c r="C1540" s="704" t="s">
        <v>583</v>
      </c>
      <c r="D1540" s="704" t="s">
        <v>544</v>
      </c>
      <c r="E1540" s="704">
        <v>1</v>
      </c>
      <c r="F1540" s="704">
        <v>100</v>
      </c>
      <c r="H1540">
        <f t="shared" si="110"/>
        <v>3978</v>
      </c>
      <c r="I1540" t="str">
        <f t="shared" si="111"/>
        <v>Greater Melbourne</v>
      </c>
    </row>
    <row r="1541" spans="1:9" x14ac:dyDescent="0.2">
      <c r="A1541" s="704">
        <v>3979</v>
      </c>
      <c r="B1541" s="704">
        <v>3979</v>
      </c>
      <c r="C1541" s="704" t="s">
        <v>582</v>
      </c>
      <c r="D1541" s="704" t="s">
        <v>541</v>
      </c>
      <c r="E1541" s="704">
        <v>1</v>
      </c>
      <c r="F1541" s="704">
        <v>100</v>
      </c>
      <c r="H1541">
        <f t="shared" si="110"/>
        <v>3979</v>
      </c>
      <c r="I1541" t="str">
        <f t="shared" si="111"/>
        <v>Rest of Vic.</v>
      </c>
    </row>
    <row r="1542" spans="1:9" x14ac:dyDescent="0.2">
      <c r="A1542" s="704">
        <v>3980</v>
      </c>
      <c r="B1542" s="704">
        <v>3980</v>
      </c>
      <c r="C1542" s="704" t="s">
        <v>583</v>
      </c>
      <c r="D1542" s="704" t="s">
        <v>544</v>
      </c>
      <c r="E1542" s="704">
        <v>0.99921800000000005</v>
      </c>
      <c r="F1542" s="704">
        <v>99.921800000000005</v>
      </c>
      <c r="H1542">
        <f t="shared" si="110"/>
        <v>3980</v>
      </c>
      <c r="I1542" t="str">
        <f t="shared" si="111"/>
        <v>Greater Melbourne</v>
      </c>
    </row>
    <row r="1543" spans="1:9" x14ac:dyDescent="0.2">
      <c r="A1543" s="704">
        <v>3981</v>
      </c>
      <c r="B1543" s="704">
        <v>3981</v>
      </c>
      <c r="C1543" s="704" t="s">
        <v>583</v>
      </c>
      <c r="D1543" s="704" t="s">
        <v>544</v>
      </c>
      <c r="E1543" s="704">
        <v>0.98376799999999998</v>
      </c>
      <c r="F1543" s="704">
        <v>98.376800000000003</v>
      </c>
      <c r="H1543">
        <f t="shared" si="110"/>
        <v>3981</v>
      </c>
      <c r="I1543" t="str">
        <f t="shared" si="111"/>
        <v>Greater Melbourne</v>
      </c>
    </row>
    <row r="1544" spans="1:9" x14ac:dyDescent="0.2">
      <c r="A1544" s="704">
        <v>3981</v>
      </c>
      <c r="B1544" s="704">
        <v>3981</v>
      </c>
      <c r="C1544" s="704" t="s">
        <v>582</v>
      </c>
      <c r="D1544" s="704" t="s">
        <v>541</v>
      </c>
      <c r="E1544" s="704">
        <v>1.6232199999999999E-2</v>
      </c>
      <c r="F1544" s="704">
        <v>1.6232200000000001</v>
      </c>
      <c r="H1544">
        <f t="shared" si="110"/>
        <v>3981</v>
      </c>
      <c r="I1544" t="str">
        <f t="shared" si="111"/>
        <v>Rest of Vic.</v>
      </c>
    </row>
    <row r="1545" spans="1:9" x14ac:dyDescent="0.2">
      <c r="A1545" s="704">
        <v>3984</v>
      </c>
      <c r="B1545" s="704">
        <v>3984</v>
      </c>
      <c r="C1545" s="704" t="s">
        <v>583</v>
      </c>
      <c r="D1545" s="704" t="s">
        <v>544</v>
      </c>
      <c r="E1545" s="704">
        <v>0.36257600000000001</v>
      </c>
      <c r="F1545" s="704">
        <v>36.257599999999996</v>
      </c>
      <c r="H1545">
        <f t="shared" si="110"/>
        <v>3984</v>
      </c>
      <c r="I1545" t="str">
        <f t="shared" si="111"/>
        <v>Greater Melbourne</v>
      </c>
    </row>
    <row r="1546" spans="1:9" x14ac:dyDescent="0.2">
      <c r="A1546" s="704">
        <v>3984</v>
      </c>
      <c r="B1546" s="704">
        <v>3984</v>
      </c>
      <c r="C1546" s="704" t="s">
        <v>582</v>
      </c>
      <c r="D1546" s="704" t="s">
        <v>541</v>
      </c>
      <c r="E1546" s="704">
        <v>0.63359399999999999</v>
      </c>
      <c r="F1546" s="704">
        <v>63.359400000000001</v>
      </c>
      <c r="H1546">
        <f t="shared" si="110"/>
        <v>3984</v>
      </c>
      <c r="I1546" t="str">
        <f t="shared" si="111"/>
        <v>Rest of Vic.</v>
      </c>
    </row>
    <row r="1547" spans="1:9" x14ac:dyDescent="0.2">
      <c r="A1547" s="704">
        <v>3987</v>
      </c>
      <c r="B1547" s="704">
        <v>3987</v>
      </c>
      <c r="C1547" s="704" t="s">
        <v>583</v>
      </c>
      <c r="D1547" s="704" t="s">
        <v>544</v>
      </c>
      <c r="E1547" s="704">
        <v>2.40468E-2</v>
      </c>
      <c r="F1547" s="704">
        <v>2.4046799999999999</v>
      </c>
      <c r="H1547">
        <f t="shared" si="110"/>
        <v>3987</v>
      </c>
      <c r="I1547" t="str">
        <f t="shared" si="111"/>
        <v>Greater Melbourne</v>
      </c>
    </row>
    <row r="1548" spans="1:9" x14ac:dyDescent="0.2">
      <c r="A1548" s="704">
        <v>3987</v>
      </c>
      <c r="B1548" s="704">
        <v>3987</v>
      </c>
      <c r="C1548" s="704" t="s">
        <v>582</v>
      </c>
      <c r="D1548" s="704" t="s">
        <v>541</v>
      </c>
      <c r="E1548" s="704">
        <v>0.97595299999999996</v>
      </c>
      <c r="F1548" s="704">
        <v>97.595299999999995</v>
      </c>
      <c r="H1548">
        <f t="shared" si="110"/>
        <v>3987</v>
      </c>
      <c r="I1548" t="str">
        <f t="shared" si="111"/>
        <v>Rest of Vic.</v>
      </c>
    </row>
    <row r="1549" spans="1:9" x14ac:dyDescent="0.2">
      <c r="A1549" s="704">
        <v>3988</v>
      </c>
      <c r="B1549" s="704">
        <v>3988</v>
      </c>
      <c r="C1549" s="704" t="s">
        <v>582</v>
      </c>
      <c r="D1549" s="704" t="s">
        <v>541</v>
      </c>
      <c r="E1549" s="704">
        <v>1</v>
      </c>
      <c r="F1549" s="704">
        <v>100</v>
      </c>
      <c r="H1549">
        <f t="shared" si="110"/>
        <v>3988</v>
      </c>
      <c r="I1549" t="str">
        <f t="shared" si="111"/>
        <v>Rest of Vic.</v>
      </c>
    </row>
    <row r="1550" spans="1:9" x14ac:dyDescent="0.2">
      <c r="A1550" s="704">
        <v>3990</v>
      </c>
      <c r="B1550" s="704">
        <v>3990</v>
      </c>
      <c r="C1550" s="704" t="s">
        <v>582</v>
      </c>
      <c r="D1550" s="704" t="s">
        <v>541</v>
      </c>
      <c r="E1550" s="704">
        <v>1</v>
      </c>
      <c r="F1550" s="704">
        <v>100</v>
      </c>
      <c r="H1550">
        <f t="shared" si="110"/>
        <v>3990</v>
      </c>
      <c r="I1550" t="str">
        <f t="shared" si="111"/>
        <v>Rest of Vic.</v>
      </c>
    </row>
    <row r="1551" spans="1:9" x14ac:dyDescent="0.2">
      <c r="A1551" s="704">
        <v>3991</v>
      </c>
      <c r="B1551" s="704">
        <v>3991</v>
      </c>
      <c r="C1551" s="704" t="s">
        <v>582</v>
      </c>
      <c r="D1551" s="704" t="s">
        <v>541</v>
      </c>
      <c r="E1551" s="704">
        <v>1</v>
      </c>
      <c r="F1551" s="704">
        <v>100</v>
      </c>
      <c r="H1551">
        <f t="shared" si="110"/>
        <v>3991</v>
      </c>
      <c r="I1551" t="str">
        <f t="shared" si="111"/>
        <v>Rest of Vic.</v>
      </c>
    </row>
    <row r="1552" spans="1:9" x14ac:dyDescent="0.2">
      <c r="A1552" s="704">
        <v>3992</v>
      </c>
      <c r="B1552" s="704">
        <v>3992</v>
      </c>
      <c r="C1552" s="704" t="s">
        <v>582</v>
      </c>
      <c r="D1552" s="704" t="s">
        <v>541</v>
      </c>
      <c r="E1552" s="704">
        <v>1</v>
      </c>
      <c r="F1552" s="704">
        <v>100</v>
      </c>
      <c r="H1552">
        <f t="shared" si="110"/>
        <v>3992</v>
      </c>
      <c r="I1552" t="str">
        <f t="shared" si="111"/>
        <v>Rest of Vic.</v>
      </c>
    </row>
    <row r="1553" spans="1:9" x14ac:dyDescent="0.2">
      <c r="A1553" s="704">
        <v>3995</v>
      </c>
      <c r="B1553" s="704">
        <v>3995</v>
      </c>
      <c r="C1553" s="704" t="s">
        <v>582</v>
      </c>
      <c r="D1553" s="704" t="s">
        <v>541</v>
      </c>
      <c r="E1553" s="704">
        <v>1</v>
      </c>
      <c r="F1553" s="704">
        <v>100</v>
      </c>
      <c r="H1553">
        <f t="shared" si="110"/>
        <v>3995</v>
      </c>
      <c r="I1553" t="str">
        <f t="shared" si="111"/>
        <v>Rest of Vic.</v>
      </c>
    </row>
    <row r="1554" spans="1:9" x14ac:dyDescent="0.2">
      <c r="A1554" s="704">
        <v>3996</v>
      </c>
      <c r="B1554" s="704">
        <v>3996</v>
      </c>
      <c r="C1554" s="704" t="s">
        <v>582</v>
      </c>
      <c r="D1554" s="704" t="s">
        <v>541</v>
      </c>
      <c r="E1554" s="704">
        <v>1</v>
      </c>
      <c r="F1554" s="704">
        <v>100</v>
      </c>
      <c r="H1554">
        <f t="shared" si="110"/>
        <v>3996</v>
      </c>
      <c r="I1554" t="str">
        <f t="shared" si="111"/>
        <v>Rest of Vic.</v>
      </c>
    </row>
    <row r="1555" spans="1:9" x14ac:dyDescent="0.2">
      <c r="A1555" s="704">
        <v>4000</v>
      </c>
      <c r="B1555" s="704">
        <v>4000</v>
      </c>
      <c r="C1555" s="704" t="s">
        <v>584</v>
      </c>
      <c r="D1555" s="704" t="s">
        <v>547</v>
      </c>
      <c r="E1555" s="704">
        <v>1</v>
      </c>
      <c r="F1555" s="704">
        <v>100</v>
      </c>
      <c r="H1555">
        <f t="shared" si="110"/>
        <v>4000</v>
      </c>
      <c r="I1555" t="str">
        <f t="shared" si="111"/>
        <v>Greater Brisbane</v>
      </c>
    </row>
    <row r="1556" spans="1:9" x14ac:dyDescent="0.2">
      <c r="A1556" s="704">
        <v>4005</v>
      </c>
      <c r="B1556" s="704">
        <v>4005</v>
      </c>
      <c r="C1556" s="704" t="s">
        <v>584</v>
      </c>
      <c r="D1556" s="704" t="s">
        <v>547</v>
      </c>
      <c r="E1556" s="704">
        <v>0.95969099999999996</v>
      </c>
      <c r="F1556" s="704">
        <v>95.969099999999997</v>
      </c>
      <c r="H1556">
        <f t="shared" si="110"/>
        <v>4005</v>
      </c>
      <c r="I1556" t="str">
        <f t="shared" si="111"/>
        <v>Greater Brisbane</v>
      </c>
    </row>
    <row r="1557" spans="1:9" x14ac:dyDescent="0.2">
      <c r="A1557" s="704">
        <v>4006</v>
      </c>
      <c r="B1557" s="704">
        <v>4006</v>
      </c>
      <c r="C1557" s="704" t="s">
        <v>584</v>
      </c>
      <c r="D1557" s="704" t="s">
        <v>547</v>
      </c>
      <c r="E1557" s="704">
        <v>0.99963900000000006</v>
      </c>
      <c r="F1557" s="704">
        <v>99.963899999999995</v>
      </c>
      <c r="H1557">
        <f t="shared" si="110"/>
        <v>4006</v>
      </c>
      <c r="I1557" t="str">
        <f t="shared" si="111"/>
        <v>Greater Brisbane</v>
      </c>
    </row>
    <row r="1558" spans="1:9" x14ac:dyDescent="0.2">
      <c r="A1558" s="704">
        <v>4007</v>
      </c>
      <c r="B1558" s="704">
        <v>4007</v>
      </c>
      <c r="C1558" s="704" t="s">
        <v>584</v>
      </c>
      <c r="D1558" s="704" t="s">
        <v>547</v>
      </c>
      <c r="E1558" s="704">
        <v>0.974132</v>
      </c>
      <c r="F1558" s="704">
        <v>97.413200000000003</v>
      </c>
      <c r="H1558">
        <f t="shared" si="110"/>
        <v>4007</v>
      </c>
      <c r="I1558" t="str">
        <f t="shared" si="111"/>
        <v>Greater Brisbane</v>
      </c>
    </row>
    <row r="1559" spans="1:9" x14ac:dyDescent="0.2">
      <c r="A1559" s="704">
        <v>4008</v>
      </c>
      <c r="B1559" s="704">
        <v>4008</v>
      </c>
      <c r="C1559" s="704" t="s">
        <v>584</v>
      </c>
      <c r="D1559" s="704" t="s">
        <v>547</v>
      </c>
      <c r="E1559" s="704">
        <v>1</v>
      </c>
      <c r="F1559" s="704">
        <v>100</v>
      </c>
      <c r="H1559">
        <f t="shared" si="110"/>
        <v>4008</v>
      </c>
      <c r="I1559" t="str">
        <f t="shared" si="111"/>
        <v>Greater Brisbane</v>
      </c>
    </row>
    <row r="1560" spans="1:9" x14ac:dyDescent="0.2">
      <c r="A1560" s="704">
        <v>4009</v>
      </c>
      <c r="B1560" s="704">
        <v>4009</v>
      </c>
      <c r="C1560" s="704" t="s">
        <v>584</v>
      </c>
      <c r="D1560" s="704" t="s">
        <v>547</v>
      </c>
      <c r="E1560" s="704">
        <v>0.99999700000000002</v>
      </c>
      <c r="F1560" s="704">
        <v>99.999700000000004</v>
      </c>
      <c r="H1560">
        <f t="shared" si="110"/>
        <v>4009</v>
      </c>
      <c r="I1560" t="str">
        <f t="shared" si="111"/>
        <v>Greater Brisbane</v>
      </c>
    </row>
    <row r="1561" spans="1:9" x14ac:dyDescent="0.2">
      <c r="A1561" s="704">
        <v>4010</v>
      </c>
      <c r="B1561" s="704">
        <v>4010</v>
      </c>
      <c r="C1561" s="704" t="s">
        <v>584</v>
      </c>
      <c r="D1561" s="704" t="s">
        <v>547</v>
      </c>
      <c r="E1561" s="704">
        <v>1</v>
      </c>
      <c r="F1561" s="704">
        <v>100</v>
      </c>
      <c r="H1561">
        <f t="shared" si="110"/>
        <v>4010</v>
      </c>
      <c r="I1561" t="str">
        <f t="shared" si="111"/>
        <v>Greater Brisbane</v>
      </c>
    </row>
    <row r="1562" spans="1:9" x14ac:dyDescent="0.2">
      <c r="A1562" s="704">
        <v>4011</v>
      </c>
      <c r="B1562" s="704">
        <v>4011</v>
      </c>
      <c r="C1562" s="704" t="s">
        <v>584</v>
      </c>
      <c r="D1562" s="704" t="s">
        <v>547</v>
      </c>
      <c r="E1562" s="704">
        <v>1</v>
      </c>
      <c r="F1562" s="704">
        <v>100</v>
      </c>
      <c r="H1562">
        <f t="shared" si="110"/>
        <v>4011</v>
      </c>
      <c r="I1562" t="str">
        <f t="shared" si="111"/>
        <v>Greater Brisbane</v>
      </c>
    </row>
    <row r="1563" spans="1:9" x14ac:dyDescent="0.2">
      <c r="A1563" s="704">
        <v>4012</v>
      </c>
      <c r="B1563" s="704">
        <v>4012</v>
      </c>
      <c r="C1563" s="704" t="s">
        <v>584</v>
      </c>
      <c r="D1563" s="704" t="s">
        <v>547</v>
      </c>
      <c r="E1563" s="704">
        <v>1</v>
      </c>
      <c r="F1563" s="704">
        <v>100</v>
      </c>
      <c r="H1563">
        <f t="shared" si="110"/>
        <v>4012</v>
      </c>
      <c r="I1563" t="str">
        <f t="shared" si="111"/>
        <v>Greater Brisbane</v>
      </c>
    </row>
    <row r="1564" spans="1:9" x14ac:dyDescent="0.2">
      <c r="A1564" s="704">
        <v>4013</v>
      </c>
      <c r="B1564" s="704">
        <v>4013</v>
      </c>
      <c r="C1564" s="704" t="s">
        <v>584</v>
      </c>
      <c r="D1564" s="704" t="s">
        <v>547</v>
      </c>
      <c r="E1564" s="704">
        <v>1</v>
      </c>
      <c r="F1564" s="704">
        <v>100</v>
      </c>
      <c r="H1564">
        <f t="shared" si="110"/>
        <v>4013</v>
      </c>
      <c r="I1564" t="str">
        <f t="shared" si="111"/>
        <v>Greater Brisbane</v>
      </c>
    </row>
    <row r="1565" spans="1:9" x14ac:dyDescent="0.2">
      <c r="A1565" s="704">
        <v>4014</v>
      </c>
      <c r="B1565" s="704">
        <v>4014</v>
      </c>
      <c r="C1565" s="704" t="s">
        <v>584</v>
      </c>
      <c r="D1565" s="704" t="s">
        <v>547</v>
      </c>
      <c r="E1565" s="704">
        <v>1</v>
      </c>
      <c r="F1565" s="704">
        <v>100</v>
      </c>
      <c r="H1565">
        <f t="shared" si="110"/>
        <v>4014</v>
      </c>
      <c r="I1565" t="str">
        <f t="shared" si="111"/>
        <v>Greater Brisbane</v>
      </c>
    </row>
    <row r="1566" spans="1:9" x14ac:dyDescent="0.2">
      <c r="A1566" s="704">
        <v>4017</v>
      </c>
      <c r="B1566" s="704">
        <v>4017</v>
      </c>
      <c r="C1566" s="704" t="s">
        <v>584</v>
      </c>
      <c r="D1566" s="704" t="s">
        <v>547</v>
      </c>
      <c r="E1566" s="704">
        <v>0.99980899999999995</v>
      </c>
      <c r="F1566" s="704">
        <v>99.980900000000005</v>
      </c>
      <c r="H1566">
        <f t="shared" si="110"/>
        <v>4017</v>
      </c>
      <c r="I1566" t="str">
        <f t="shared" si="111"/>
        <v>Greater Brisbane</v>
      </c>
    </row>
    <row r="1567" spans="1:9" x14ac:dyDescent="0.2">
      <c r="A1567" s="704">
        <v>4018</v>
      </c>
      <c r="B1567" s="704">
        <v>4018</v>
      </c>
      <c r="C1567" s="704" t="s">
        <v>584</v>
      </c>
      <c r="D1567" s="704" t="s">
        <v>547</v>
      </c>
      <c r="E1567" s="704">
        <v>1</v>
      </c>
      <c r="F1567" s="704">
        <v>100</v>
      </c>
      <c r="H1567">
        <f t="shared" si="110"/>
        <v>4018</v>
      </c>
      <c r="I1567" t="str">
        <f t="shared" si="111"/>
        <v>Greater Brisbane</v>
      </c>
    </row>
    <row r="1568" spans="1:9" x14ac:dyDescent="0.2">
      <c r="A1568" s="704">
        <v>4019</v>
      </c>
      <c r="B1568" s="704">
        <v>4019</v>
      </c>
      <c r="C1568" s="704" t="s">
        <v>584</v>
      </c>
      <c r="D1568" s="704" t="s">
        <v>547</v>
      </c>
      <c r="E1568" s="704">
        <v>0.99846800000000002</v>
      </c>
      <c r="F1568" s="704">
        <v>99.846800000000002</v>
      </c>
      <c r="H1568">
        <f t="shared" si="110"/>
        <v>4019</v>
      </c>
      <c r="I1568" t="str">
        <f t="shared" si="111"/>
        <v>Greater Brisbane</v>
      </c>
    </row>
    <row r="1569" spans="1:9" x14ac:dyDescent="0.2">
      <c r="A1569" s="704">
        <v>4020</v>
      </c>
      <c r="B1569" s="704">
        <v>4020</v>
      </c>
      <c r="C1569" s="704" t="s">
        <v>584</v>
      </c>
      <c r="D1569" s="704" t="s">
        <v>547</v>
      </c>
      <c r="E1569" s="704">
        <v>0.99886699999999995</v>
      </c>
      <c r="F1569" s="704">
        <v>99.886700000000005</v>
      </c>
      <c r="H1569">
        <f t="shared" si="110"/>
        <v>4020</v>
      </c>
      <c r="I1569" t="str">
        <f t="shared" si="111"/>
        <v>Greater Brisbane</v>
      </c>
    </row>
    <row r="1570" spans="1:9" x14ac:dyDescent="0.2">
      <c r="A1570" s="704">
        <v>4021</v>
      </c>
      <c r="B1570" s="704">
        <v>4021</v>
      </c>
      <c r="C1570" s="704" t="s">
        <v>584</v>
      </c>
      <c r="D1570" s="704" t="s">
        <v>547</v>
      </c>
      <c r="E1570" s="704">
        <v>1</v>
      </c>
      <c r="F1570" s="704">
        <v>100</v>
      </c>
      <c r="H1570">
        <f t="shared" si="110"/>
        <v>4021</v>
      </c>
      <c r="I1570" t="str">
        <f t="shared" si="111"/>
        <v>Greater Brisbane</v>
      </c>
    </row>
    <row r="1571" spans="1:9" x14ac:dyDescent="0.2">
      <c r="A1571" s="704">
        <v>4022</v>
      </c>
      <c r="B1571" s="704">
        <v>4022</v>
      </c>
      <c r="C1571" s="704" t="s">
        <v>584</v>
      </c>
      <c r="D1571" s="704" t="s">
        <v>547</v>
      </c>
      <c r="E1571" s="704">
        <v>1</v>
      </c>
      <c r="F1571" s="704">
        <v>100</v>
      </c>
      <c r="H1571">
        <f t="shared" si="110"/>
        <v>4022</v>
      </c>
      <c r="I1571" t="str">
        <f t="shared" si="111"/>
        <v>Greater Brisbane</v>
      </c>
    </row>
    <row r="1572" spans="1:9" x14ac:dyDescent="0.2">
      <c r="A1572" s="704">
        <v>4025</v>
      </c>
      <c r="B1572" s="704">
        <v>4025</v>
      </c>
      <c r="C1572" s="704" t="s">
        <v>584</v>
      </c>
      <c r="D1572" s="704" t="s">
        <v>547</v>
      </c>
      <c r="E1572" s="704">
        <v>1</v>
      </c>
      <c r="F1572" s="704">
        <v>100</v>
      </c>
      <c r="H1572">
        <f t="shared" si="110"/>
        <v>4025</v>
      </c>
      <c r="I1572" t="str">
        <f t="shared" si="111"/>
        <v>Greater Brisbane</v>
      </c>
    </row>
    <row r="1573" spans="1:9" x14ac:dyDescent="0.2">
      <c r="A1573" s="704">
        <v>4029</v>
      </c>
      <c r="B1573" s="704">
        <v>4029</v>
      </c>
      <c r="C1573" s="704" t="s">
        <v>584</v>
      </c>
      <c r="D1573" s="704" t="s">
        <v>547</v>
      </c>
      <c r="E1573" s="704">
        <v>1</v>
      </c>
      <c r="F1573" s="704">
        <v>100</v>
      </c>
      <c r="H1573">
        <f t="shared" si="110"/>
        <v>4029</v>
      </c>
      <c r="I1573" t="str">
        <f t="shared" si="111"/>
        <v>Greater Brisbane</v>
      </c>
    </row>
    <row r="1574" spans="1:9" x14ac:dyDescent="0.2">
      <c r="A1574" s="704">
        <v>4030</v>
      </c>
      <c r="B1574" s="704">
        <v>4030</v>
      </c>
      <c r="C1574" s="704" t="s">
        <v>584</v>
      </c>
      <c r="D1574" s="704" t="s">
        <v>547</v>
      </c>
      <c r="E1574" s="704">
        <v>1</v>
      </c>
      <c r="F1574" s="704">
        <v>100</v>
      </c>
      <c r="H1574">
        <f t="shared" si="110"/>
        <v>4030</v>
      </c>
      <c r="I1574" t="str">
        <f t="shared" si="111"/>
        <v>Greater Brisbane</v>
      </c>
    </row>
    <row r="1575" spans="1:9" x14ac:dyDescent="0.2">
      <c r="A1575" s="704">
        <v>4031</v>
      </c>
      <c r="B1575" s="704">
        <v>4031</v>
      </c>
      <c r="C1575" s="704" t="s">
        <v>584</v>
      </c>
      <c r="D1575" s="704" t="s">
        <v>547</v>
      </c>
      <c r="E1575" s="704">
        <v>1</v>
      </c>
      <c r="F1575" s="704">
        <v>100</v>
      </c>
      <c r="H1575">
        <f t="shared" si="110"/>
        <v>4031</v>
      </c>
      <c r="I1575" t="str">
        <f t="shared" si="111"/>
        <v>Greater Brisbane</v>
      </c>
    </row>
    <row r="1576" spans="1:9" x14ac:dyDescent="0.2">
      <c r="A1576" s="704">
        <v>4032</v>
      </c>
      <c r="B1576" s="704">
        <v>4032</v>
      </c>
      <c r="C1576" s="704" t="s">
        <v>584</v>
      </c>
      <c r="D1576" s="704" t="s">
        <v>547</v>
      </c>
      <c r="E1576" s="704">
        <v>1</v>
      </c>
      <c r="F1576" s="704">
        <v>100</v>
      </c>
      <c r="H1576">
        <f t="shared" si="110"/>
        <v>4032</v>
      </c>
      <c r="I1576" t="str">
        <f t="shared" si="111"/>
        <v>Greater Brisbane</v>
      </c>
    </row>
    <row r="1577" spans="1:9" x14ac:dyDescent="0.2">
      <c r="A1577" s="704">
        <v>4034</v>
      </c>
      <c r="B1577" s="704">
        <v>4034</v>
      </c>
      <c r="C1577" s="704" t="s">
        <v>584</v>
      </c>
      <c r="D1577" s="704" t="s">
        <v>547</v>
      </c>
      <c r="E1577" s="704">
        <v>1</v>
      </c>
      <c r="F1577" s="704">
        <v>100</v>
      </c>
      <c r="H1577">
        <f t="shared" si="110"/>
        <v>4034</v>
      </c>
      <c r="I1577" t="str">
        <f t="shared" si="111"/>
        <v>Greater Brisbane</v>
      </c>
    </row>
    <row r="1578" spans="1:9" x14ac:dyDescent="0.2">
      <c r="A1578" s="704">
        <v>4035</v>
      </c>
      <c r="B1578" s="704">
        <v>4035</v>
      </c>
      <c r="C1578" s="704" t="s">
        <v>584</v>
      </c>
      <c r="D1578" s="704" t="s">
        <v>547</v>
      </c>
      <c r="E1578" s="704">
        <v>1</v>
      </c>
      <c r="F1578" s="704">
        <v>100</v>
      </c>
      <c r="H1578">
        <f t="shared" si="110"/>
        <v>4035</v>
      </c>
      <c r="I1578" t="str">
        <f t="shared" si="111"/>
        <v>Greater Brisbane</v>
      </c>
    </row>
    <row r="1579" spans="1:9" x14ac:dyDescent="0.2">
      <c r="A1579" s="704">
        <v>4036</v>
      </c>
      <c r="B1579" s="704">
        <v>4036</v>
      </c>
      <c r="C1579" s="704" t="s">
        <v>584</v>
      </c>
      <c r="D1579" s="704" t="s">
        <v>547</v>
      </c>
      <c r="E1579" s="704">
        <v>1</v>
      </c>
      <c r="F1579" s="704">
        <v>100</v>
      </c>
      <c r="H1579">
        <f t="shared" si="110"/>
        <v>4036</v>
      </c>
      <c r="I1579" t="str">
        <f t="shared" si="111"/>
        <v>Greater Brisbane</v>
      </c>
    </row>
    <row r="1580" spans="1:9" x14ac:dyDescent="0.2">
      <c r="A1580" s="704">
        <v>4037</v>
      </c>
      <c r="B1580" s="704">
        <v>4037</v>
      </c>
      <c r="C1580" s="704" t="s">
        <v>584</v>
      </c>
      <c r="D1580" s="704" t="s">
        <v>547</v>
      </c>
      <c r="E1580" s="704">
        <v>1</v>
      </c>
      <c r="F1580" s="704">
        <v>100</v>
      </c>
      <c r="H1580">
        <f t="shared" si="110"/>
        <v>4037</v>
      </c>
      <c r="I1580" t="str">
        <f t="shared" si="111"/>
        <v>Greater Brisbane</v>
      </c>
    </row>
    <row r="1581" spans="1:9" x14ac:dyDescent="0.2">
      <c r="A1581" s="704">
        <v>4051</v>
      </c>
      <c r="B1581" s="704">
        <v>4051</v>
      </c>
      <c r="C1581" s="704" t="s">
        <v>584</v>
      </c>
      <c r="D1581" s="704" t="s">
        <v>547</v>
      </c>
      <c r="E1581" s="704">
        <v>1</v>
      </c>
      <c r="F1581" s="704">
        <v>100</v>
      </c>
      <c r="H1581">
        <f t="shared" si="110"/>
        <v>4051</v>
      </c>
      <c r="I1581" t="str">
        <f t="shared" si="111"/>
        <v>Greater Brisbane</v>
      </c>
    </row>
    <row r="1582" spans="1:9" x14ac:dyDescent="0.2">
      <c r="A1582" s="704">
        <v>4053</v>
      </c>
      <c r="B1582" s="704">
        <v>4053</v>
      </c>
      <c r="C1582" s="704" t="s">
        <v>584</v>
      </c>
      <c r="D1582" s="704" t="s">
        <v>547</v>
      </c>
      <c r="E1582" s="704">
        <v>1</v>
      </c>
      <c r="F1582" s="704">
        <v>100</v>
      </c>
      <c r="H1582">
        <f t="shared" si="110"/>
        <v>4053</v>
      </c>
      <c r="I1582" t="str">
        <f t="shared" si="111"/>
        <v>Greater Brisbane</v>
      </c>
    </row>
    <row r="1583" spans="1:9" x14ac:dyDescent="0.2">
      <c r="A1583" s="704">
        <v>4054</v>
      </c>
      <c r="B1583" s="704">
        <v>4054</v>
      </c>
      <c r="C1583" s="704" t="s">
        <v>584</v>
      </c>
      <c r="D1583" s="704" t="s">
        <v>547</v>
      </c>
      <c r="E1583" s="704">
        <v>1</v>
      </c>
      <c r="F1583" s="704">
        <v>100</v>
      </c>
      <c r="H1583">
        <f t="shared" si="110"/>
        <v>4054</v>
      </c>
      <c r="I1583" t="str">
        <f t="shared" si="111"/>
        <v>Greater Brisbane</v>
      </c>
    </row>
    <row r="1584" spans="1:9" x14ac:dyDescent="0.2">
      <c r="A1584" s="704">
        <v>4055</v>
      </c>
      <c r="B1584" s="704">
        <v>4055</v>
      </c>
      <c r="C1584" s="704" t="s">
        <v>584</v>
      </c>
      <c r="D1584" s="704" t="s">
        <v>547</v>
      </c>
      <c r="E1584" s="704">
        <v>1</v>
      </c>
      <c r="F1584" s="704">
        <v>100</v>
      </c>
      <c r="H1584">
        <f t="shared" si="110"/>
        <v>4055</v>
      </c>
      <c r="I1584" t="str">
        <f t="shared" si="111"/>
        <v>Greater Brisbane</v>
      </c>
    </row>
    <row r="1585" spans="1:9" x14ac:dyDescent="0.2">
      <c r="A1585" s="704">
        <v>4059</v>
      </c>
      <c r="B1585" s="704">
        <v>4059</v>
      </c>
      <c r="C1585" s="704" t="s">
        <v>584</v>
      </c>
      <c r="D1585" s="704" t="s">
        <v>547</v>
      </c>
      <c r="E1585" s="704">
        <v>1</v>
      </c>
      <c r="F1585" s="704">
        <v>100</v>
      </c>
      <c r="H1585">
        <f t="shared" si="110"/>
        <v>4059</v>
      </c>
      <c r="I1585" t="str">
        <f t="shared" si="111"/>
        <v>Greater Brisbane</v>
      </c>
    </row>
    <row r="1586" spans="1:9" x14ac:dyDescent="0.2">
      <c r="A1586" s="704">
        <v>4060</v>
      </c>
      <c r="B1586" s="704">
        <v>4060</v>
      </c>
      <c r="C1586" s="704" t="s">
        <v>584</v>
      </c>
      <c r="D1586" s="704" t="s">
        <v>547</v>
      </c>
      <c r="E1586" s="704">
        <v>1</v>
      </c>
      <c r="F1586" s="704">
        <v>100</v>
      </c>
      <c r="H1586">
        <f t="shared" si="110"/>
        <v>4060</v>
      </c>
      <c r="I1586" t="str">
        <f t="shared" si="111"/>
        <v>Greater Brisbane</v>
      </c>
    </row>
    <row r="1587" spans="1:9" x14ac:dyDescent="0.2">
      <c r="A1587" s="704">
        <v>4061</v>
      </c>
      <c r="B1587" s="704">
        <v>4061</v>
      </c>
      <c r="C1587" s="704" t="s">
        <v>584</v>
      </c>
      <c r="D1587" s="704" t="s">
        <v>547</v>
      </c>
      <c r="E1587" s="704">
        <v>1</v>
      </c>
      <c r="F1587" s="704">
        <v>100</v>
      </c>
      <c r="H1587">
        <f t="shared" si="110"/>
        <v>4061</v>
      </c>
      <c r="I1587" t="str">
        <f t="shared" si="111"/>
        <v>Greater Brisbane</v>
      </c>
    </row>
    <row r="1588" spans="1:9" x14ac:dyDescent="0.2">
      <c r="A1588" s="704">
        <v>4064</v>
      </c>
      <c r="B1588" s="704">
        <v>4064</v>
      </c>
      <c r="C1588" s="704" t="s">
        <v>584</v>
      </c>
      <c r="D1588" s="704" t="s">
        <v>547</v>
      </c>
      <c r="E1588" s="704">
        <v>1</v>
      </c>
      <c r="F1588" s="704">
        <v>100</v>
      </c>
      <c r="H1588">
        <f t="shared" si="110"/>
        <v>4064</v>
      </c>
      <c r="I1588" t="str">
        <f t="shared" si="111"/>
        <v>Greater Brisbane</v>
      </c>
    </row>
    <row r="1589" spans="1:9" x14ac:dyDescent="0.2">
      <c r="A1589" s="704">
        <v>4065</v>
      </c>
      <c r="B1589" s="704">
        <v>4065</v>
      </c>
      <c r="C1589" s="704" t="s">
        <v>584</v>
      </c>
      <c r="D1589" s="704" t="s">
        <v>547</v>
      </c>
      <c r="E1589" s="704">
        <v>1</v>
      </c>
      <c r="F1589" s="704">
        <v>100</v>
      </c>
      <c r="H1589">
        <f t="shared" si="110"/>
        <v>4065</v>
      </c>
      <c r="I1589" t="str">
        <f t="shared" si="111"/>
        <v>Greater Brisbane</v>
      </c>
    </row>
    <row r="1590" spans="1:9" x14ac:dyDescent="0.2">
      <c r="A1590" s="704">
        <v>4066</v>
      </c>
      <c r="B1590" s="704">
        <v>4066</v>
      </c>
      <c r="C1590" s="704" t="s">
        <v>584</v>
      </c>
      <c r="D1590" s="704" t="s">
        <v>547</v>
      </c>
      <c r="E1590" s="704">
        <v>0.99988299999999997</v>
      </c>
      <c r="F1590" s="704">
        <v>99.988299999999995</v>
      </c>
      <c r="H1590">
        <f t="shared" si="110"/>
        <v>4066</v>
      </c>
      <c r="I1590" t="str">
        <f t="shared" si="111"/>
        <v>Greater Brisbane</v>
      </c>
    </row>
    <row r="1591" spans="1:9" x14ac:dyDescent="0.2">
      <c r="A1591" s="704">
        <v>4067</v>
      </c>
      <c r="B1591" s="704">
        <v>4067</v>
      </c>
      <c r="C1591" s="704" t="s">
        <v>584</v>
      </c>
      <c r="D1591" s="704" t="s">
        <v>547</v>
      </c>
      <c r="E1591" s="704">
        <v>0.98158400000000001</v>
      </c>
      <c r="F1591" s="704">
        <v>98.1584</v>
      </c>
      <c r="H1591">
        <f t="shared" si="110"/>
        <v>4067</v>
      </c>
      <c r="I1591" t="str">
        <f t="shared" si="111"/>
        <v>Greater Brisbane</v>
      </c>
    </row>
    <row r="1592" spans="1:9" x14ac:dyDescent="0.2">
      <c r="A1592" s="704">
        <v>4068</v>
      </c>
      <c r="B1592" s="704">
        <v>4068</v>
      </c>
      <c r="C1592" s="704" t="s">
        <v>584</v>
      </c>
      <c r="D1592" s="704" t="s">
        <v>547</v>
      </c>
      <c r="E1592" s="704">
        <v>0.99084000000000005</v>
      </c>
      <c r="F1592" s="704">
        <v>99.084000000000003</v>
      </c>
      <c r="H1592">
        <f t="shared" si="110"/>
        <v>4068</v>
      </c>
      <c r="I1592" t="str">
        <f t="shared" si="111"/>
        <v>Greater Brisbane</v>
      </c>
    </row>
    <row r="1593" spans="1:9" x14ac:dyDescent="0.2">
      <c r="A1593" s="704">
        <v>4069</v>
      </c>
      <c r="B1593" s="704">
        <v>4069</v>
      </c>
      <c r="C1593" s="704" t="s">
        <v>584</v>
      </c>
      <c r="D1593" s="704" t="s">
        <v>547</v>
      </c>
      <c r="E1593" s="704">
        <v>0.99597199999999997</v>
      </c>
      <c r="F1593" s="704">
        <v>99.597200000000001</v>
      </c>
      <c r="H1593">
        <f t="shared" ref="H1593:H1656" si="112">A1593*1</f>
        <v>4069</v>
      </c>
      <c r="I1593" t="str">
        <f t="shared" ref="I1593:I1656" si="113">D1593</f>
        <v>Greater Brisbane</v>
      </c>
    </row>
    <row r="1594" spans="1:9" x14ac:dyDescent="0.2">
      <c r="A1594" s="704">
        <v>4070</v>
      </c>
      <c r="B1594" s="704">
        <v>4070</v>
      </c>
      <c r="C1594" s="704" t="s">
        <v>584</v>
      </c>
      <c r="D1594" s="704" t="s">
        <v>547</v>
      </c>
      <c r="E1594" s="704">
        <v>0.99935799999999997</v>
      </c>
      <c r="F1594" s="704">
        <v>99.9358</v>
      </c>
      <c r="H1594">
        <f t="shared" si="112"/>
        <v>4070</v>
      </c>
      <c r="I1594" t="str">
        <f t="shared" si="113"/>
        <v>Greater Brisbane</v>
      </c>
    </row>
    <row r="1595" spans="1:9" x14ac:dyDescent="0.2">
      <c r="A1595" s="704">
        <v>4072</v>
      </c>
      <c r="B1595" s="704">
        <v>4072</v>
      </c>
      <c r="C1595" s="704" t="s">
        <v>584</v>
      </c>
      <c r="D1595" s="704" t="s">
        <v>547</v>
      </c>
      <c r="E1595" s="704">
        <v>0.94117600000000001</v>
      </c>
      <c r="F1595" s="704">
        <v>94.117599999999996</v>
      </c>
      <c r="H1595">
        <f t="shared" si="112"/>
        <v>4072</v>
      </c>
      <c r="I1595" t="str">
        <f t="shared" si="113"/>
        <v>Greater Brisbane</v>
      </c>
    </row>
    <row r="1596" spans="1:9" x14ac:dyDescent="0.2">
      <c r="A1596" s="704">
        <v>4073</v>
      </c>
      <c r="B1596" s="704">
        <v>4073</v>
      </c>
      <c r="C1596" s="704" t="s">
        <v>584</v>
      </c>
      <c r="D1596" s="704" t="s">
        <v>547</v>
      </c>
      <c r="E1596" s="704">
        <v>1</v>
      </c>
      <c r="F1596" s="704">
        <v>100</v>
      </c>
      <c r="H1596">
        <f t="shared" si="112"/>
        <v>4073</v>
      </c>
      <c r="I1596" t="str">
        <f t="shared" si="113"/>
        <v>Greater Brisbane</v>
      </c>
    </row>
    <row r="1597" spans="1:9" x14ac:dyDescent="0.2">
      <c r="A1597" s="704">
        <v>4074</v>
      </c>
      <c r="B1597" s="704">
        <v>4074</v>
      </c>
      <c r="C1597" s="704" t="s">
        <v>584</v>
      </c>
      <c r="D1597" s="704" t="s">
        <v>547</v>
      </c>
      <c r="E1597" s="704">
        <v>0.99640099999999998</v>
      </c>
      <c r="F1597" s="704">
        <v>99.640100000000004</v>
      </c>
      <c r="H1597">
        <f t="shared" si="112"/>
        <v>4074</v>
      </c>
      <c r="I1597" t="str">
        <f t="shared" si="113"/>
        <v>Greater Brisbane</v>
      </c>
    </row>
    <row r="1598" spans="1:9" x14ac:dyDescent="0.2">
      <c r="A1598" s="704">
        <v>4075</v>
      </c>
      <c r="B1598" s="704">
        <v>4075</v>
      </c>
      <c r="C1598" s="704" t="s">
        <v>584</v>
      </c>
      <c r="D1598" s="704" t="s">
        <v>547</v>
      </c>
      <c r="E1598" s="704">
        <v>0.99717599999999995</v>
      </c>
      <c r="F1598" s="704">
        <v>99.717600000000004</v>
      </c>
      <c r="H1598">
        <f t="shared" si="112"/>
        <v>4075</v>
      </c>
      <c r="I1598" t="str">
        <f t="shared" si="113"/>
        <v>Greater Brisbane</v>
      </c>
    </row>
    <row r="1599" spans="1:9" x14ac:dyDescent="0.2">
      <c r="A1599" s="704">
        <v>4076</v>
      </c>
      <c r="B1599" s="704">
        <v>4076</v>
      </c>
      <c r="C1599" s="704" t="s">
        <v>584</v>
      </c>
      <c r="D1599" s="704" t="s">
        <v>547</v>
      </c>
      <c r="E1599" s="704">
        <v>0.99800800000000001</v>
      </c>
      <c r="F1599" s="704">
        <v>99.800799999999995</v>
      </c>
      <c r="H1599">
        <f t="shared" si="112"/>
        <v>4076</v>
      </c>
      <c r="I1599" t="str">
        <f t="shared" si="113"/>
        <v>Greater Brisbane</v>
      </c>
    </row>
    <row r="1600" spans="1:9" x14ac:dyDescent="0.2">
      <c r="A1600" s="704">
        <v>4077</v>
      </c>
      <c r="B1600" s="704">
        <v>4077</v>
      </c>
      <c r="C1600" s="704" t="s">
        <v>584</v>
      </c>
      <c r="D1600" s="704" t="s">
        <v>547</v>
      </c>
      <c r="E1600" s="704">
        <v>1</v>
      </c>
      <c r="F1600" s="704">
        <v>100</v>
      </c>
      <c r="H1600">
        <f t="shared" si="112"/>
        <v>4077</v>
      </c>
      <c r="I1600" t="str">
        <f t="shared" si="113"/>
        <v>Greater Brisbane</v>
      </c>
    </row>
    <row r="1601" spans="1:9" x14ac:dyDescent="0.2">
      <c r="A1601" s="704">
        <v>4078</v>
      </c>
      <c r="B1601" s="704">
        <v>4078</v>
      </c>
      <c r="C1601" s="704" t="s">
        <v>584</v>
      </c>
      <c r="D1601" s="704" t="s">
        <v>547</v>
      </c>
      <c r="E1601" s="704">
        <v>1</v>
      </c>
      <c r="F1601" s="704">
        <v>100</v>
      </c>
      <c r="H1601">
        <f t="shared" si="112"/>
        <v>4078</v>
      </c>
      <c r="I1601" t="str">
        <f t="shared" si="113"/>
        <v>Greater Brisbane</v>
      </c>
    </row>
    <row r="1602" spans="1:9" x14ac:dyDescent="0.2">
      <c r="A1602" s="704">
        <v>4101</v>
      </c>
      <c r="B1602" s="704">
        <v>4101</v>
      </c>
      <c r="C1602" s="704" t="s">
        <v>584</v>
      </c>
      <c r="D1602" s="704" t="s">
        <v>547</v>
      </c>
      <c r="E1602" s="704">
        <v>0.98183399999999998</v>
      </c>
      <c r="F1602" s="704">
        <v>98.183400000000006</v>
      </c>
      <c r="H1602">
        <f t="shared" si="112"/>
        <v>4101</v>
      </c>
      <c r="I1602" t="str">
        <f t="shared" si="113"/>
        <v>Greater Brisbane</v>
      </c>
    </row>
    <row r="1603" spans="1:9" x14ac:dyDescent="0.2">
      <c r="A1603" s="704">
        <v>4102</v>
      </c>
      <c r="B1603" s="704">
        <v>4102</v>
      </c>
      <c r="C1603" s="704" t="s">
        <v>584</v>
      </c>
      <c r="D1603" s="704" t="s">
        <v>547</v>
      </c>
      <c r="E1603" s="704">
        <v>1</v>
      </c>
      <c r="F1603" s="704">
        <v>100</v>
      </c>
      <c r="H1603">
        <f t="shared" si="112"/>
        <v>4102</v>
      </c>
      <c r="I1603" t="str">
        <f t="shared" si="113"/>
        <v>Greater Brisbane</v>
      </c>
    </row>
    <row r="1604" spans="1:9" x14ac:dyDescent="0.2">
      <c r="A1604" s="704">
        <v>4103</v>
      </c>
      <c r="B1604" s="704">
        <v>4103</v>
      </c>
      <c r="C1604" s="704" t="s">
        <v>584</v>
      </c>
      <c r="D1604" s="704" t="s">
        <v>547</v>
      </c>
      <c r="E1604" s="704">
        <v>1</v>
      </c>
      <c r="F1604" s="704">
        <v>100</v>
      </c>
      <c r="H1604">
        <f t="shared" si="112"/>
        <v>4103</v>
      </c>
      <c r="I1604" t="str">
        <f t="shared" si="113"/>
        <v>Greater Brisbane</v>
      </c>
    </row>
    <row r="1605" spans="1:9" x14ac:dyDescent="0.2">
      <c r="A1605" s="704">
        <v>4104</v>
      </c>
      <c r="B1605" s="704">
        <v>4104</v>
      </c>
      <c r="C1605" s="704" t="s">
        <v>584</v>
      </c>
      <c r="D1605" s="704" t="s">
        <v>547</v>
      </c>
      <c r="E1605" s="704">
        <v>0.98638800000000004</v>
      </c>
      <c r="F1605" s="704">
        <v>98.638800000000003</v>
      </c>
      <c r="H1605">
        <f t="shared" si="112"/>
        <v>4104</v>
      </c>
      <c r="I1605" t="str">
        <f t="shared" si="113"/>
        <v>Greater Brisbane</v>
      </c>
    </row>
    <row r="1606" spans="1:9" x14ac:dyDescent="0.2">
      <c r="A1606" s="704">
        <v>4105</v>
      </c>
      <c r="B1606" s="704">
        <v>4105</v>
      </c>
      <c r="C1606" s="704" t="s">
        <v>584</v>
      </c>
      <c r="D1606" s="704" t="s">
        <v>547</v>
      </c>
      <c r="E1606" s="704">
        <v>0.99810500000000002</v>
      </c>
      <c r="F1606" s="704">
        <v>99.810500000000005</v>
      </c>
      <c r="H1606">
        <f t="shared" si="112"/>
        <v>4105</v>
      </c>
      <c r="I1606" t="str">
        <f t="shared" si="113"/>
        <v>Greater Brisbane</v>
      </c>
    </row>
    <row r="1607" spans="1:9" x14ac:dyDescent="0.2">
      <c r="A1607" s="704">
        <v>4106</v>
      </c>
      <c r="B1607" s="704">
        <v>4106</v>
      </c>
      <c r="C1607" s="704" t="s">
        <v>584</v>
      </c>
      <c r="D1607" s="704" t="s">
        <v>547</v>
      </c>
      <c r="E1607" s="704">
        <v>1</v>
      </c>
      <c r="F1607" s="704">
        <v>100</v>
      </c>
      <c r="H1607">
        <f t="shared" si="112"/>
        <v>4106</v>
      </c>
      <c r="I1607" t="str">
        <f t="shared" si="113"/>
        <v>Greater Brisbane</v>
      </c>
    </row>
    <row r="1608" spans="1:9" x14ac:dyDescent="0.2">
      <c r="A1608" s="704">
        <v>4107</v>
      </c>
      <c r="B1608" s="704">
        <v>4107</v>
      </c>
      <c r="C1608" s="704" t="s">
        <v>584</v>
      </c>
      <c r="D1608" s="704" t="s">
        <v>547</v>
      </c>
      <c r="E1608" s="704">
        <v>1</v>
      </c>
      <c r="F1608" s="704">
        <v>100</v>
      </c>
      <c r="H1608">
        <f t="shared" si="112"/>
        <v>4107</v>
      </c>
      <c r="I1608" t="str">
        <f t="shared" si="113"/>
        <v>Greater Brisbane</v>
      </c>
    </row>
    <row r="1609" spans="1:9" x14ac:dyDescent="0.2">
      <c r="A1609" s="704">
        <v>4108</v>
      </c>
      <c r="B1609" s="704">
        <v>4108</v>
      </c>
      <c r="C1609" s="704" t="s">
        <v>584</v>
      </c>
      <c r="D1609" s="704" t="s">
        <v>547</v>
      </c>
      <c r="E1609" s="704">
        <v>1</v>
      </c>
      <c r="F1609" s="704">
        <v>100</v>
      </c>
      <c r="H1609">
        <f t="shared" si="112"/>
        <v>4108</v>
      </c>
      <c r="I1609" t="str">
        <f t="shared" si="113"/>
        <v>Greater Brisbane</v>
      </c>
    </row>
    <row r="1610" spans="1:9" x14ac:dyDescent="0.2">
      <c r="A1610" s="704">
        <v>4109</v>
      </c>
      <c r="B1610" s="704">
        <v>4109</v>
      </c>
      <c r="C1610" s="704" t="s">
        <v>584</v>
      </c>
      <c r="D1610" s="704" t="s">
        <v>547</v>
      </c>
      <c r="E1610" s="704">
        <v>1</v>
      </c>
      <c r="F1610" s="704">
        <v>100</v>
      </c>
      <c r="H1610">
        <f t="shared" si="112"/>
        <v>4109</v>
      </c>
      <c r="I1610" t="str">
        <f t="shared" si="113"/>
        <v>Greater Brisbane</v>
      </c>
    </row>
    <row r="1611" spans="1:9" x14ac:dyDescent="0.2">
      <c r="A1611" s="704">
        <v>4110</v>
      </c>
      <c r="B1611" s="704">
        <v>4110</v>
      </c>
      <c r="C1611" s="704" t="s">
        <v>584</v>
      </c>
      <c r="D1611" s="704" t="s">
        <v>547</v>
      </c>
      <c r="E1611" s="704">
        <v>1</v>
      </c>
      <c r="F1611" s="704">
        <v>100</v>
      </c>
      <c r="H1611">
        <f t="shared" si="112"/>
        <v>4110</v>
      </c>
      <c r="I1611" t="str">
        <f t="shared" si="113"/>
        <v>Greater Brisbane</v>
      </c>
    </row>
    <row r="1612" spans="1:9" x14ac:dyDescent="0.2">
      <c r="A1612" s="704">
        <v>4111</v>
      </c>
      <c r="B1612" s="704">
        <v>4111</v>
      </c>
      <c r="C1612" s="704" t="s">
        <v>584</v>
      </c>
      <c r="D1612" s="704" t="s">
        <v>547</v>
      </c>
      <c r="E1612" s="704">
        <v>1</v>
      </c>
      <c r="F1612" s="704">
        <v>100</v>
      </c>
      <c r="H1612">
        <f t="shared" si="112"/>
        <v>4111</v>
      </c>
      <c r="I1612" t="str">
        <f t="shared" si="113"/>
        <v>Greater Brisbane</v>
      </c>
    </row>
    <row r="1613" spans="1:9" x14ac:dyDescent="0.2">
      <c r="A1613" s="704">
        <v>4112</v>
      </c>
      <c r="B1613" s="704">
        <v>4112</v>
      </c>
      <c r="C1613" s="704" t="s">
        <v>584</v>
      </c>
      <c r="D1613" s="704" t="s">
        <v>547</v>
      </c>
      <c r="E1613" s="704">
        <v>1</v>
      </c>
      <c r="F1613" s="704">
        <v>100</v>
      </c>
      <c r="H1613">
        <f t="shared" si="112"/>
        <v>4112</v>
      </c>
      <c r="I1613" t="str">
        <f t="shared" si="113"/>
        <v>Greater Brisbane</v>
      </c>
    </row>
    <row r="1614" spans="1:9" x14ac:dyDescent="0.2">
      <c r="A1614" s="704">
        <v>4113</v>
      </c>
      <c r="B1614" s="704">
        <v>4113</v>
      </c>
      <c r="C1614" s="704" t="s">
        <v>584</v>
      </c>
      <c r="D1614" s="704" t="s">
        <v>547</v>
      </c>
      <c r="E1614" s="704">
        <v>1</v>
      </c>
      <c r="F1614" s="704">
        <v>100</v>
      </c>
      <c r="H1614">
        <f t="shared" si="112"/>
        <v>4113</v>
      </c>
      <c r="I1614" t="str">
        <f t="shared" si="113"/>
        <v>Greater Brisbane</v>
      </c>
    </row>
    <row r="1615" spans="1:9" x14ac:dyDescent="0.2">
      <c r="A1615" s="704">
        <v>4114</v>
      </c>
      <c r="B1615" s="704">
        <v>4114</v>
      </c>
      <c r="C1615" s="704" t="s">
        <v>584</v>
      </c>
      <c r="D1615" s="704" t="s">
        <v>547</v>
      </c>
      <c r="E1615" s="704">
        <v>1</v>
      </c>
      <c r="F1615" s="704">
        <v>100</v>
      </c>
      <c r="H1615">
        <f t="shared" si="112"/>
        <v>4114</v>
      </c>
      <c r="I1615" t="str">
        <f t="shared" si="113"/>
        <v>Greater Brisbane</v>
      </c>
    </row>
    <row r="1616" spans="1:9" x14ac:dyDescent="0.2">
      <c r="A1616" s="704">
        <v>4115</v>
      </c>
      <c r="B1616" s="704">
        <v>4115</v>
      </c>
      <c r="C1616" s="704" t="s">
        <v>584</v>
      </c>
      <c r="D1616" s="704" t="s">
        <v>547</v>
      </c>
      <c r="E1616" s="704">
        <v>1</v>
      </c>
      <c r="F1616" s="704">
        <v>100</v>
      </c>
      <c r="H1616">
        <f t="shared" si="112"/>
        <v>4115</v>
      </c>
      <c r="I1616" t="str">
        <f t="shared" si="113"/>
        <v>Greater Brisbane</v>
      </c>
    </row>
    <row r="1617" spans="1:9" x14ac:dyDescent="0.2">
      <c r="A1617" s="704">
        <v>4116</v>
      </c>
      <c r="B1617" s="704">
        <v>4116</v>
      </c>
      <c r="C1617" s="704" t="s">
        <v>584</v>
      </c>
      <c r="D1617" s="704" t="s">
        <v>547</v>
      </c>
      <c r="E1617" s="704">
        <v>1</v>
      </c>
      <c r="F1617" s="704">
        <v>100</v>
      </c>
      <c r="H1617">
        <f t="shared" si="112"/>
        <v>4116</v>
      </c>
      <c r="I1617" t="str">
        <f t="shared" si="113"/>
        <v>Greater Brisbane</v>
      </c>
    </row>
    <row r="1618" spans="1:9" x14ac:dyDescent="0.2">
      <c r="A1618" s="704">
        <v>4117</v>
      </c>
      <c r="B1618" s="704">
        <v>4117</v>
      </c>
      <c r="C1618" s="704" t="s">
        <v>584</v>
      </c>
      <c r="D1618" s="704" t="s">
        <v>547</v>
      </c>
      <c r="E1618" s="704">
        <v>1</v>
      </c>
      <c r="F1618" s="704">
        <v>100</v>
      </c>
      <c r="H1618">
        <f t="shared" si="112"/>
        <v>4117</v>
      </c>
      <c r="I1618" t="str">
        <f t="shared" si="113"/>
        <v>Greater Brisbane</v>
      </c>
    </row>
    <row r="1619" spans="1:9" x14ac:dyDescent="0.2">
      <c r="A1619" s="704">
        <v>4118</v>
      </c>
      <c r="B1619" s="704">
        <v>4118</v>
      </c>
      <c r="C1619" s="704" t="s">
        <v>584</v>
      </c>
      <c r="D1619" s="704" t="s">
        <v>547</v>
      </c>
      <c r="E1619" s="704">
        <v>1</v>
      </c>
      <c r="F1619" s="704">
        <v>100</v>
      </c>
      <c r="H1619">
        <f t="shared" si="112"/>
        <v>4118</v>
      </c>
      <c r="I1619" t="str">
        <f t="shared" si="113"/>
        <v>Greater Brisbane</v>
      </c>
    </row>
    <row r="1620" spans="1:9" x14ac:dyDescent="0.2">
      <c r="A1620" s="704">
        <v>4119</v>
      </c>
      <c r="B1620" s="704">
        <v>4119</v>
      </c>
      <c r="C1620" s="704" t="s">
        <v>584</v>
      </c>
      <c r="D1620" s="704" t="s">
        <v>547</v>
      </c>
      <c r="E1620" s="704">
        <v>1</v>
      </c>
      <c r="F1620" s="704">
        <v>100</v>
      </c>
      <c r="H1620">
        <f t="shared" si="112"/>
        <v>4119</v>
      </c>
      <c r="I1620" t="str">
        <f t="shared" si="113"/>
        <v>Greater Brisbane</v>
      </c>
    </row>
    <row r="1621" spans="1:9" x14ac:dyDescent="0.2">
      <c r="A1621" s="704">
        <v>4120</v>
      </c>
      <c r="B1621" s="704">
        <v>4120</v>
      </c>
      <c r="C1621" s="704" t="s">
        <v>584</v>
      </c>
      <c r="D1621" s="704" t="s">
        <v>547</v>
      </c>
      <c r="E1621" s="704">
        <v>1</v>
      </c>
      <c r="F1621" s="704">
        <v>100</v>
      </c>
      <c r="H1621">
        <f t="shared" si="112"/>
        <v>4120</v>
      </c>
      <c r="I1621" t="str">
        <f t="shared" si="113"/>
        <v>Greater Brisbane</v>
      </c>
    </row>
    <row r="1622" spans="1:9" x14ac:dyDescent="0.2">
      <c r="A1622" s="704">
        <v>4121</v>
      </c>
      <c r="B1622" s="704">
        <v>4121</v>
      </c>
      <c r="C1622" s="704" t="s">
        <v>584</v>
      </c>
      <c r="D1622" s="704" t="s">
        <v>547</v>
      </c>
      <c r="E1622" s="704">
        <v>1</v>
      </c>
      <c r="F1622" s="704">
        <v>100</v>
      </c>
      <c r="H1622">
        <f t="shared" si="112"/>
        <v>4121</v>
      </c>
      <c r="I1622" t="str">
        <f t="shared" si="113"/>
        <v>Greater Brisbane</v>
      </c>
    </row>
    <row r="1623" spans="1:9" x14ac:dyDescent="0.2">
      <c r="A1623" s="704">
        <v>4122</v>
      </c>
      <c r="B1623" s="704">
        <v>4122</v>
      </c>
      <c r="C1623" s="704" t="s">
        <v>584</v>
      </c>
      <c r="D1623" s="704" t="s">
        <v>547</v>
      </c>
      <c r="E1623" s="704">
        <v>1</v>
      </c>
      <c r="F1623" s="704">
        <v>100</v>
      </c>
      <c r="H1623">
        <f t="shared" si="112"/>
        <v>4122</v>
      </c>
      <c r="I1623" t="str">
        <f t="shared" si="113"/>
        <v>Greater Brisbane</v>
      </c>
    </row>
    <row r="1624" spans="1:9" x14ac:dyDescent="0.2">
      <c r="A1624" s="704">
        <v>4123</v>
      </c>
      <c r="B1624" s="704">
        <v>4123</v>
      </c>
      <c r="C1624" s="704" t="s">
        <v>584</v>
      </c>
      <c r="D1624" s="704" t="s">
        <v>547</v>
      </c>
      <c r="E1624" s="704">
        <v>1</v>
      </c>
      <c r="F1624" s="704">
        <v>100</v>
      </c>
      <c r="H1624">
        <f t="shared" si="112"/>
        <v>4123</v>
      </c>
      <c r="I1624" t="str">
        <f t="shared" si="113"/>
        <v>Greater Brisbane</v>
      </c>
    </row>
    <row r="1625" spans="1:9" x14ac:dyDescent="0.2">
      <c r="A1625" s="704">
        <v>4124</v>
      </c>
      <c r="B1625" s="704">
        <v>4124</v>
      </c>
      <c r="C1625" s="704" t="s">
        <v>584</v>
      </c>
      <c r="D1625" s="704" t="s">
        <v>547</v>
      </c>
      <c r="E1625" s="704">
        <v>1</v>
      </c>
      <c r="F1625" s="704">
        <v>100</v>
      </c>
      <c r="H1625">
        <f t="shared" si="112"/>
        <v>4124</v>
      </c>
      <c r="I1625" t="str">
        <f t="shared" si="113"/>
        <v>Greater Brisbane</v>
      </c>
    </row>
    <row r="1626" spans="1:9" x14ac:dyDescent="0.2">
      <c r="A1626" s="704">
        <v>4125</v>
      </c>
      <c r="B1626" s="704">
        <v>4125</v>
      </c>
      <c r="C1626" s="704" t="s">
        <v>584</v>
      </c>
      <c r="D1626" s="704" t="s">
        <v>547</v>
      </c>
      <c r="E1626" s="704">
        <v>1</v>
      </c>
      <c r="F1626" s="704">
        <v>100</v>
      </c>
      <c r="H1626">
        <f t="shared" si="112"/>
        <v>4125</v>
      </c>
      <c r="I1626" t="str">
        <f t="shared" si="113"/>
        <v>Greater Brisbane</v>
      </c>
    </row>
    <row r="1627" spans="1:9" x14ac:dyDescent="0.2">
      <c r="A1627" s="704">
        <v>4127</v>
      </c>
      <c r="B1627" s="704">
        <v>4127</v>
      </c>
      <c r="C1627" s="704" t="s">
        <v>584</v>
      </c>
      <c r="D1627" s="704" t="s">
        <v>547</v>
      </c>
      <c r="E1627" s="704">
        <v>1</v>
      </c>
      <c r="F1627" s="704">
        <v>100</v>
      </c>
      <c r="H1627">
        <f t="shared" si="112"/>
        <v>4127</v>
      </c>
      <c r="I1627" t="str">
        <f t="shared" si="113"/>
        <v>Greater Brisbane</v>
      </c>
    </row>
    <row r="1628" spans="1:9" x14ac:dyDescent="0.2">
      <c r="A1628" s="704">
        <v>4128</v>
      </c>
      <c r="B1628" s="704">
        <v>4128</v>
      </c>
      <c r="C1628" s="704" t="s">
        <v>584</v>
      </c>
      <c r="D1628" s="704" t="s">
        <v>547</v>
      </c>
      <c r="E1628" s="704">
        <v>1</v>
      </c>
      <c r="F1628" s="704">
        <v>100</v>
      </c>
      <c r="H1628">
        <f t="shared" si="112"/>
        <v>4128</v>
      </c>
      <c r="I1628" t="str">
        <f t="shared" si="113"/>
        <v>Greater Brisbane</v>
      </c>
    </row>
    <row r="1629" spans="1:9" x14ac:dyDescent="0.2">
      <c r="A1629" s="704">
        <v>4129</v>
      </c>
      <c r="B1629" s="704">
        <v>4129</v>
      </c>
      <c r="C1629" s="704" t="s">
        <v>584</v>
      </c>
      <c r="D1629" s="704" t="s">
        <v>547</v>
      </c>
      <c r="E1629" s="704">
        <v>1</v>
      </c>
      <c r="F1629" s="704">
        <v>100</v>
      </c>
      <c r="H1629">
        <f t="shared" si="112"/>
        <v>4129</v>
      </c>
      <c r="I1629" t="str">
        <f t="shared" si="113"/>
        <v>Greater Brisbane</v>
      </c>
    </row>
    <row r="1630" spans="1:9" x14ac:dyDescent="0.2">
      <c r="A1630" s="704">
        <v>4130</v>
      </c>
      <c r="B1630" s="704">
        <v>4130</v>
      </c>
      <c r="C1630" s="704" t="s">
        <v>584</v>
      </c>
      <c r="D1630" s="704" t="s">
        <v>547</v>
      </c>
      <c r="E1630" s="704">
        <v>1</v>
      </c>
      <c r="F1630" s="704">
        <v>100</v>
      </c>
      <c r="H1630">
        <f t="shared" si="112"/>
        <v>4130</v>
      </c>
      <c r="I1630" t="str">
        <f t="shared" si="113"/>
        <v>Greater Brisbane</v>
      </c>
    </row>
    <row r="1631" spans="1:9" x14ac:dyDescent="0.2">
      <c r="A1631" s="704">
        <v>4131</v>
      </c>
      <c r="B1631" s="704">
        <v>4131</v>
      </c>
      <c r="C1631" s="704" t="s">
        <v>584</v>
      </c>
      <c r="D1631" s="704" t="s">
        <v>547</v>
      </c>
      <c r="E1631" s="704">
        <v>1</v>
      </c>
      <c r="F1631" s="704">
        <v>100</v>
      </c>
      <c r="H1631">
        <f t="shared" si="112"/>
        <v>4131</v>
      </c>
      <c r="I1631" t="str">
        <f t="shared" si="113"/>
        <v>Greater Brisbane</v>
      </c>
    </row>
    <row r="1632" spans="1:9" x14ac:dyDescent="0.2">
      <c r="A1632" s="704">
        <v>4132</v>
      </c>
      <c r="B1632" s="704">
        <v>4132</v>
      </c>
      <c r="C1632" s="704" t="s">
        <v>584</v>
      </c>
      <c r="D1632" s="704" t="s">
        <v>547</v>
      </c>
      <c r="E1632" s="704">
        <v>1</v>
      </c>
      <c r="F1632" s="704">
        <v>100</v>
      </c>
      <c r="H1632">
        <f t="shared" si="112"/>
        <v>4132</v>
      </c>
      <c r="I1632" t="str">
        <f t="shared" si="113"/>
        <v>Greater Brisbane</v>
      </c>
    </row>
    <row r="1633" spans="1:9" x14ac:dyDescent="0.2">
      <c r="A1633" s="704">
        <v>4133</v>
      </c>
      <c r="B1633" s="704">
        <v>4133</v>
      </c>
      <c r="C1633" s="704" t="s">
        <v>584</v>
      </c>
      <c r="D1633" s="704" t="s">
        <v>547</v>
      </c>
      <c r="E1633" s="704">
        <v>1</v>
      </c>
      <c r="F1633" s="704">
        <v>100</v>
      </c>
      <c r="H1633">
        <f t="shared" si="112"/>
        <v>4133</v>
      </c>
      <c r="I1633" t="str">
        <f t="shared" si="113"/>
        <v>Greater Brisbane</v>
      </c>
    </row>
    <row r="1634" spans="1:9" x14ac:dyDescent="0.2">
      <c r="A1634" s="704">
        <v>4151</v>
      </c>
      <c r="B1634" s="704">
        <v>4151</v>
      </c>
      <c r="C1634" s="704" t="s">
        <v>584</v>
      </c>
      <c r="D1634" s="704" t="s">
        <v>547</v>
      </c>
      <c r="E1634" s="704">
        <v>1</v>
      </c>
      <c r="F1634" s="704">
        <v>100</v>
      </c>
      <c r="H1634">
        <f t="shared" si="112"/>
        <v>4151</v>
      </c>
      <c r="I1634" t="str">
        <f t="shared" si="113"/>
        <v>Greater Brisbane</v>
      </c>
    </row>
    <row r="1635" spans="1:9" x14ac:dyDescent="0.2">
      <c r="A1635" s="704">
        <v>4152</v>
      </c>
      <c r="B1635" s="704">
        <v>4152</v>
      </c>
      <c r="C1635" s="704" t="s">
        <v>584</v>
      </c>
      <c r="D1635" s="704" t="s">
        <v>547</v>
      </c>
      <c r="E1635" s="704">
        <v>1</v>
      </c>
      <c r="F1635" s="704">
        <v>100</v>
      </c>
      <c r="H1635">
        <f t="shared" si="112"/>
        <v>4152</v>
      </c>
      <c r="I1635" t="str">
        <f t="shared" si="113"/>
        <v>Greater Brisbane</v>
      </c>
    </row>
    <row r="1636" spans="1:9" x14ac:dyDescent="0.2">
      <c r="A1636" s="704">
        <v>4153</v>
      </c>
      <c r="B1636" s="704">
        <v>4153</v>
      </c>
      <c r="C1636" s="704" t="s">
        <v>584</v>
      </c>
      <c r="D1636" s="704" t="s">
        <v>547</v>
      </c>
      <c r="E1636" s="704">
        <v>1</v>
      </c>
      <c r="F1636" s="704">
        <v>100</v>
      </c>
      <c r="H1636">
        <f t="shared" si="112"/>
        <v>4153</v>
      </c>
      <c r="I1636" t="str">
        <f t="shared" si="113"/>
        <v>Greater Brisbane</v>
      </c>
    </row>
    <row r="1637" spans="1:9" x14ac:dyDescent="0.2">
      <c r="A1637" s="704">
        <v>4154</v>
      </c>
      <c r="B1637" s="704">
        <v>4154</v>
      </c>
      <c r="C1637" s="704" t="s">
        <v>584</v>
      </c>
      <c r="D1637" s="704" t="s">
        <v>547</v>
      </c>
      <c r="E1637" s="704">
        <v>0.99919000000000002</v>
      </c>
      <c r="F1637" s="704">
        <v>99.918999999999997</v>
      </c>
      <c r="H1637">
        <f t="shared" si="112"/>
        <v>4154</v>
      </c>
      <c r="I1637" t="str">
        <f t="shared" si="113"/>
        <v>Greater Brisbane</v>
      </c>
    </row>
    <row r="1638" spans="1:9" x14ac:dyDescent="0.2">
      <c r="A1638" s="704">
        <v>4155</v>
      </c>
      <c r="B1638" s="704">
        <v>4155</v>
      </c>
      <c r="C1638" s="704" t="s">
        <v>584</v>
      </c>
      <c r="D1638" s="704" t="s">
        <v>547</v>
      </c>
      <c r="E1638" s="704">
        <v>1</v>
      </c>
      <c r="F1638" s="704">
        <v>100</v>
      </c>
      <c r="H1638">
        <f t="shared" si="112"/>
        <v>4155</v>
      </c>
      <c r="I1638" t="str">
        <f t="shared" si="113"/>
        <v>Greater Brisbane</v>
      </c>
    </row>
    <row r="1639" spans="1:9" x14ac:dyDescent="0.2">
      <c r="A1639" s="704">
        <v>4156</v>
      </c>
      <c r="B1639" s="704">
        <v>4156</v>
      </c>
      <c r="C1639" s="704" t="s">
        <v>584</v>
      </c>
      <c r="D1639" s="704" t="s">
        <v>547</v>
      </c>
      <c r="E1639" s="704">
        <v>1</v>
      </c>
      <c r="F1639" s="704">
        <v>100</v>
      </c>
      <c r="H1639">
        <f t="shared" si="112"/>
        <v>4156</v>
      </c>
      <c r="I1639" t="str">
        <f t="shared" si="113"/>
        <v>Greater Brisbane</v>
      </c>
    </row>
    <row r="1640" spans="1:9" x14ac:dyDescent="0.2">
      <c r="A1640" s="704">
        <v>4157</v>
      </c>
      <c r="B1640" s="704">
        <v>4157</v>
      </c>
      <c r="C1640" s="704" t="s">
        <v>584</v>
      </c>
      <c r="D1640" s="704" t="s">
        <v>547</v>
      </c>
      <c r="E1640" s="704">
        <v>1</v>
      </c>
      <c r="F1640" s="704">
        <v>100</v>
      </c>
      <c r="H1640">
        <f t="shared" si="112"/>
        <v>4157</v>
      </c>
      <c r="I1640" t="str">
        <f t="shared" si="113"/>
        <v>Greater Brisbane</v>
      </c>
    </row>
    <row r="1641" spans="1:9" x14ac:dyDescent="0.2">
      <c r="A1641" s="704">
        <v>4158</v>
      </c>
      <c r="B1641" s="704">
        <v>4158</v>
      </c>
      <c r="C1641" s="704" t="s">
        <v>584</v>
      </c>
      <c r="D1641" s="704" t="s">
        <v>547</v>
      </c>
      <c r="E1641" s="704">
        <v>1</v>
      </c>
      <c r="F1641" s="704">
        <v>100</v>
      </c>
      <c r="H1641">
        <f t="shared" si="112"/>
        <v>4158</v>
      </c>
      <c r="I1641" t="str">
        <f t="shared" si="113"/>
        <v>Greater Brisbane</v>
      </c>
    </row>
    <row r="1642" spans="1:9" x14ac:dyDescent="0.2">
      <c r="A1642" s="704">
        <v>4159</v>
      </c>
      <c r="B1642" s="704">
        <v>4159</v>
      </c>
      <c r="C1642" s="704" t="s">
        <v>584</v>
      </c>
      <c r="D1642" s="704" t="s">
        <v>547</v>
      </c>
      <c r="E1642" s="704">
        <v>1</v>
      </c>
      <c r="F1642" s="704">
        <v>100</v>
      </c>
      <c r="H1642">
        <f t="shared" si="112"/>
        <v>4159</v>
      </c>
      <c r="I1642" t="str">
        <f t="shared" si="113"/>
        <v>Greater Brisbane</v>
      </c>
    </row>
    <row r="1643" spans="1:9" x14ac:dyDescent="0.2">
      <c r="A1643" s="704">
        <v>4160</v>
      </c>
      <c r="B1643" s="704">
        <v>4160</v>
      </c>
      <c r="C1643" s="704" t="s">
        <v>584</v>
      </c>
      <c r="D1643" s="704" t="s">
        <v>547</v>
      </c>
      <c r="E1643" s="704">
        <v>0.99800500000000003</v>
      </c>
      <c r="F1643" s="704">
        <v>99.8005</v>
      </c>
      <c r="H1643">
        <f t="shared" si="112"/>
        <v>4160</v>
      </c>
      <c r="I1643" t="str">
        <f t="shared" si="113"/>
        <v>Greater Brisbane</v>
      </c>
    </row>
    <row r="1644" spans="1:9" x14ac:dyDescent="0.2">
      <c r="A1644" s="704">
        <v>4161</v>
      </c>
      <c r="B1644" s="704">
        <v>4161</v>
      </c>
      <c r="C1644" s="704" t="s">
        <v>584</v>
      </c>
      <c r="D1644" s="704" t="s">
        <v>547</v>
      </c>
      <c r="E1644" s="704">
        <v>1</v>
      </c>
      <c r="F1644" s="704">
        <v>100</v>
      </c>
      <c r="H1644">
        <f t="shared" si="112"/>
        <v>4161</v>
      </c>
      <c r="I1644" t="str">
        <f t="shared" si="113"/>
        <v>Greater Brisbane</v>
      </c>
    </row>
    <row r="1645" spans="1:9" x14ac:dyDescent="0.2">
      <c r="A1645" s="704">
        <v>4163</v>
      </c>
      <c r="B1645" s="704">
        <v>4163</v>
      </c>
      <c r="C1645" s="704" t="s">
        <v>584</v>
      </c>
      <c r="D1645" s="704" t="s">
        <v>547</v>
      </c>
      <c r="E1645" s="704">
        <v>0.994398</v>
      </c>
      <c r="F1645" s="704">
        <v>99.439800000000005</v>
      </c>
      <c r="H1645">
        <f t="shared" si="112"/>
        <v>4163</v>
      </c>
      <c r="I1645" t="str">
        <f t="shared" si="113"/>
        <v>Greater Brisbane</v>
      </c>
    </row>
    <row r="1646" spans="1:9" x14ac:dyDescent="0.2">
      <c r="A1646" s="704">
        <v>4164</v>
      </c>
      <c r="B1646" s="704">
        <v>4164</v>
      </c>
      <c r="C1646" s="704" t="s">
        <v>584</v>
      </c>
      <c r="D1646" s="704" t="s">
        <v>547</v>
      </c>
      <c r="E1646" s="704">
        <v>1</v>
      </c>
      <c r="F1646" s="704">
        <v>100</v>
      </c>
      <c r="H1646">
        <f t="shared" si="112"/>
        <v>4164</v>
      </c>
      <c r="I1646" t="str">
        <f t="shared" si="113"/>
        <v>Greater Brisbane</v>
      </c>
    </row>
    <row r="1647" spans="1:9" x14ac:dyDescent="0.2">
      <c r="A1647" s="704">
        <v>4165</v>
      </c>
      <c r="B1647" s="704">
        <v>4165</v>
      </c>
      <c r="C1647" s="704" t="s">
        <v>584</v>
      </c>
      <c r="D1647" s="704" t="s">
        <v>547</v>
      </c>
      <c r="E1647" s="704">
        <v>0.99788900000000003</v>
      </c>
      <c r="F1647" s="704">
        <v>99.788899999999998</v>
      </c>
      <c r="H1647">
        <f t="shared" si="112"/>
        <v>4165</v>
      </c>
      <c r="I1647" t="str">
        <f t="shared" si="113"/>
        <v>Greater Brisbane</v>
      </c>
    </row>
    <row r="1648" spans="1:9" x14ac:dyDescent="0.2">
      <c r="A1648" s="704">
        <v>4169</v>
      </c>
      <c r="B1648" s="704">
        <v>4169</v>
      </c>
      <c r="C1648" s="704" t="s">
        <v>584</v>
      </c>
      <c r="D1648" s="704" t="s">
        <v>547</v>
      </c>
      <c r="E1648" s="704">
        <v>0.99782899999999997</v>
      </c>
      <c r="F1648" s="704">
        <v>99.782899999999998</v>
      </c>
      <c r="H1648">
        <f t="shared" si="112"/>
        <v>4169</v>
      </c>
      <c r="I1648" t="str">
        <f t="shared" si="113"/>
        <v>Greater Brisbane</v>
      </c>
    </row>
    <row r="1649" spans="1:9" x14ac:dyDescent="0.2">
      <c r="A1649" s="704">
        <v>4170</v>
      </c>
      <c r="B1649" s="704">
        <v>4170</v>
      </c>
      <c r="C1649" s="704" t="s">
        <v>584</v>
      </c>
      <c r="D1649" s="704" t="s">
        <v>547</v>
      </c>
      <c r="E1649" s="704">
        <v>1</v>
      </c>
      <c r="F1649" s="704">
        <v>100</v>
      </c>
      <c r="H1649">
        <f t="shared" si="112"/>
        <v>4170</v>
      </c>
      <c r="I1649" t="str">
        <f t="shared" si="113"/>
        <v>Greater Brisbane</v>
      </c>
    </row>
    <row r="1650" spans="1:9" x14ac:dyDescent="0.2">
      <c r="A1650" s="704">
        <v>4171</v>
      </c>
      <c r="B1650" s="704">
        <v>4171</v>
      </c>
      <c r="C1650" s="704" t="s">
        <v>584</v>
      </c>
      <c r="D1650" s="704" t="s">
        <v>547</v>
      </c>
      <c r="E1650" s="704">
        <v>0.98804099999999995</v>
      </c>
      <c r="F1650" s="704">
        <v>98.804100000000005</v>
      </c>
      <c r="H1650">
        <f t="shared" si="112"/>
        <v>4171</v>
      </c>
      <c r="I1650" t="str">
        <f t="shared" si="113"/>
        <v>Greater Brisbane</v>
      </c>
    </row>
    <row r="1651" spans="1:9" x14ac:dyDescent="0.2">
      <c r="A1651" s="704">
        <v>4172</v>
      </c>
      <c r="B1651" s="704">
        <v>4172</v>
      </c>
      <c r="C1651" s="704" t="s">
        <v>584</v>
      </c>
      <c r="D1651" s="704" t="s">
        <v>547</v>
      </c>
      <c r="E1651" s="704">
        <v>1</v>
      </c>
      <c r="F1651" s="704">
        <v>100</v>
      </c>
      <c r="H1651">
        <f t="shared" si="112"/>
        <v>4172</v>
      </c>
      <c r="I1651" t="str">
        <f t="shared" si="113"/>
        <v>Greater Brisbane</v>
      </c>
    </row>
    <row r="1652" spans="1:9" x14ac:dyDescent="0.2">
      <c r="A1652" s="704">
        <v>4173</v>
      </c>
      <c r="B1652" s="704">
        <v>4173</v>
      </c>
      <c r="C1652" s="704" t="s">
        <v>584</v>
      </c>
      <c r="D1652" s="704" t="s">
        <v>547</v>
      </c>
      <c r="E1652" s="704">
        <v>1</v>
      </c>
      <c r="F1652" s="704">
        <v>100</v>
      </c>
      <c r="H1652">
        <f t="shared" si="112"/>
        <v>4173</v>
      </c>
      <c r="I1652" t="str">
        <f t="shared" si="113"/>
        <v>Greater Brisbane</v>
      </c>
    </row>
    <row r="1653" spans="1:9" x14ac:dyDescent="0.2">
      <c r="A1653" s="704">
        <v>4174</v>
      </c>
      <c r="B1653" s="704">
        <v>4174</v>
      </c>
      <c r="C1653" s="704" t="s">
        <v>584</v>
      </c>
      <c r="D1653" s="704" t="s">
        <v>547</v>
      </c>
      <c r="E1653" s="704">
        <v>1</v>
      </c>
      <c r="F1653" s="704">
        <v>100</v>
      </c>
      <c r="H1653">
        <f t="shared" si="112"/>
        <v>4174</v>
      </c>
      <c r="I1653" t="str">
        <f t="shared" si="113"/>
        <v>Greater Brisbane</v>
      </c>
    </row>
    <row r="1654" spans="1:9" x14ac:dyDescent="0.2">
      <c r="A1654" s="704">
        <v>4178</v>
      </c>
      <c r="B1654" s="704">
        <v>4178</v>
      </c>
      <c r="C1654" s="704" t="s">
        <v>584</v>
      </c>
      <c r="D1654" s="704" t="s">
        <v>547</v>
      </c>
      <c r="E1654" s="704">
        <v>0.99739900000000004</v>
      </c>
      <c r="F1654" s="704">
        <v>99.739900000000006</v>
      </c>
      <c r="H1654">
        <f t="shared" si="112"/>
        <v>4178</v>
      </c>
      <c r="I1654" t="str">
        <f t="shared" si="113"/>
        <v>Greater Brisbane</v>
      </c>
    </row>
    <row r="1655" spans="1:9" x14ac:dyDescent="0.2">
      <c r="A1655" s="704">
        <v>4179</v>
      </c>
      <c r="B1655" s="704">
        <v>4179</v>
      </c>
      <c r="C1655" s="704" t="s">
        <v>584</v>
      </c>
      <c r="D1655" s="704" t="s">
        <v>547</v>
      </c>
      <c r="E1655" s="704">
        <v>0.99343899999999996</v>
      </c>
      <c r="F1655" s="704">
        <v>99.343900000000005</v>
      </c>
      <c r="H1655">
        <f t="shared" si="112"/>
        <v>4179</v>
      </c>
      <c r="I1655" t="str">
        <f t="shared" si="113"/>
        <v>Greater Brisbane</v>
      </c>
    </row>
    <row r="1656" spans="1:9" x14ac:dyDescent="0.2">
      <c r="A1656" s="704">
        <v>4183</v>
      </c>
      <c r="B1656" s="704">
        <v>4183</v>
      </c>
      <c r="C1656" s="704" t="s">
        <v>584</v>
      </c>
      <c r="D1656" s="704" t="s">
        <v>547</v>
      </c>
      <c r="E1656" s="704">
        <v>0.98969099999999999</v>
      </c>
      <c r="F1656" s="704">
        <v>98.969099999999997</v>
      </c>
      <c r="H1656">
        <f t="shared" si="112"/>
        <v>4183</v>
      </c>
      <c r="I1656" t="str">
        <f t="shared" si="113"/>
        <v>Greater Brisbane</v>
      </c>
    </row>
    <row r="1657" spans="1:9" x14ac:dyDescent="0.2">
      <c r="A1657" s="704">
        <v>4184</v>
      </c>
      <c r="B1657" s="704">
        <v>4184</v>
      </c>
      <c r="C1657" s="704" t="s">
        <v>584</v>
      </c>
      <c r="D1657" s="704" t="s">
        <v>547</v>
      </c>
      <c r="E1657" s="704">
        <v>0.98802000000000001</v>
      </c>
      <c r="F1657" s="704">
        <v>98.802000000000007</v>
      </c>
      <c r="H1657">
        <f t="shared" ref="H1657:H1720" si="114">A1657*1</f>
        <v>4184</v>
      </c>
      <c r="I1657" t="str">
        <f t="shared" ref="I1657:I1720" si="115">D1657</f>
        <v>Greater Brisbane</v>
      </c>
    </row>
    <row r="1658" spans="1:9" x14ac:dyDescent="0.2">
      <c r="A1658" s="704">
        <v>4205</v>
      </c>
      <c r="B1658" s="704">
        <v>4205</v>
      </c>
      <c r="C1658" s="704" t="s">
        <v>584</v>
      </c>
      <c r="D1658" s="704" t="s">
        <v>547</v>
      </c>
      <c r="E1658" s="704">
        <v>1</v>
      </c>
      <c r="F1658" s="704">
        <v>100</v>
      </c>
      <c r="H1658">
        <f t="shared" si="114"/>
        <v>4205</v>
      </c>
      <c r="I1658" t="str">
        <f t="shared" si="115"/>
        <v>Greater Brisbane</v>
      </c>
    </row>
    <row r="1659" spans="1:9" x14ac:dyDescent="0.2">
      <c r="A1659" s="704">
        <v>4207</v>
      </c>
      <c r="B1659" s="704">
        <v>4207</v>
      </c>
      <c r="C1659" s="704" t="s">
        <v>584</v>
      </c>
      <c r="D1659" s="704" t="s">
        <v>547</v>
      </c>
      <c r="E1659" s="704">
        <v>0.91580399999999995</v>
      </c>
      <c r="F1659" s="704">
        <v>91.580399999999997</v>
      </c>
      <c r="H1659">
        <f t="shared" si="114"/>
        <v>4207</v>
      </c>
      <c r="I1659" t="str">
        <f t="shared" si="115"/>
        <v>Greater Brisbane</v>
      </c>
    </row>
    <row r="1660" spans="1:9" x14ac:dyDescent="0.2">
      <c r="A1660" s="704">
        <v>4207</v>
      </c>
      <c r="B1660" s="704">
        <v>4207</v>
      </c>
      <c r="C1660" s="704" t="s">
        <v>579</v>
      </c>
      <c r="D1660" s="704" t="s">
        <v>533</v>
      </c>
      <c r="E1660" s="704">
        <v>8.4195800000000001E-2</v>
      </c>
      <c r="F1660" s="704">
        <v>8.4195799999999998</v>
      </c>
      <c r="H1660">
        <f t="shared" si="114"/>
        <v>4207</v>
      </c>
      <c r="I1660" t="str">
        <f t="shared" si="115"/>
        <v>Rest of Qld</v>
      </c>
    </row>
    <row r="1661" spans="1:9" x14ac:dyDescent="0.2">
      <c r="A1661" s="704">
        <v>4208</v>
      </c>
      <c r="B1661" s="704">
        <v>4208</v>
      </c>
      <c r="C1661" s="704" t="s">
        <v>579</v>
      </c>
      <c r="D1661" s="704" t="s">
        <v>533</v>
      </c>
      <c r="E1661" s="704">
        <v>1</v>
      </c>
      <c r="F1661" s="704">
        <v>100</v>
      </c>
      <c r="H1661">
        <f t="shared" si="114"/>
        <v>4208</v>
      </c>
      <c r="I1661" t="str">
        <f t="shared" si="115"/>
        <v>Rest of Qld</v>
      </c>
    </row>
    <row r="1662" spans="1:9" x14ac:dyDescent="0.2">
      <c r="A1662" s="704">
        <v>4209</v>
      </c>
      <c r="B1662" s="704">
        <v>4209</v>
      </c>
      <c r="C1662" s="704" t="s">
        <v>579</v>
      </c>
      <c r="D1662" s="704" t="s">
        <v>533</v>
      </c>
      <c r="E1662" s="704">
        <v>1</v>
      </c>
      <c r="F1662" s="704">
        <v>100</v>
      </c>
      <c r="H1662">
        <f t="shared" si="114"/>
        <v>4209</v>
      </c>
      <c r="I1662" t="str">
        <f t="shared" si="115"/>
        <v>Rest of Qld</v>
      </c>
    </row>
    <row r="1663" spans="1:9" x14ac:dyDescent="0.2">
      <c r="A1663" s="704">
        <v>4210</v>
      </c>
      <c r="B1663" s="704">
        <v>4210</v>
      </c>
      <c r="C1663" s="704" t="s">
        <v>579</v>
      </c>
      <c r="D1663" s="704" t="s">
        <v>533</v>
      </c>
      <c r="E1663" s="704">
        <v>1</v>
      </c>
      <c r="F1663" s="704">
        <v>100</v>
      </c>
      <c r="H1663">
        <f t="shared" si="114"/>
        <v>4210</v>
      </c>
      <c r="I1663" t="str">
        <f t="shared" si="115"/>
        <v>Rest of Qld</v>
      </c>
    </row>
    <row r="1664" spans="1:9" x14ac:dyDescent="0.2">
      <c r="A1664" s="704">
        <v>4211</v>
      </c>
      <c r="B1664" s="704">
        <v>4211</v>
      </c>
      <c r="C1664" s="704" t="s">
        <v>579</v>
      </c>
      <c r="D1664" s="704" t="s">
        <v>533</v>
      </c>
      <c r="E1664" s="704">
        <v>0.99999899999999997</v>
      </c>
      <c r="F1664" s="704">
        <v>99.999899999999997</v>
      </c>
      <c r="H1664">
        <f t="shared" si="114"/>
        <v>4211</v>
      </c>
      <c r="I1664" t="str">
        <f t="shared" si="115"/>
        <v>Rest of Qld</v>
      </c>
    </row>
    <row r="1665" spans="1:9" x14ac:dyDescent="0.2">
      <c r="A1665" s="704">
        <v>4212</v>
      </c>
      <c r="B1665" s="704">
        <v>4212</v>
      </c>
      <c r="C1665" s="704" t="s">
        <v>579</v>
      </c>
      <c r="D1665" s="704" t="s">
        <v>533</v>
      </c>
      <c r="E1665" s="704">
        <v>0.99886600000000003</v>
      </c>
      <c r="F1665" s="704">
        <v>99.886600000000001</v>
      </c>
      <c r="H1665">
        <f t="shared" si="114"/>
        <v>4212</v>
      </c>
      <c r="I1665" t="str">
        <f t="shared" si="115"/>
        <v>Rest of Qld</v>
      </c>
    </row>
    <row r="1666" spans="1:9" x14ac:dyDescent="0.2">
      <c r="A1666" s="704">
        <v>4213</v>
      </c>
      <c r="B1666" s="704">
        <v>4213</v>
      </c>
      <c r="C1666" s="704" t="s">
        <v>579</v>
      </c>
      <c r="D1666" s="704" t="s">
        <v>533</v>
      </c>
      <c r="E1666" s="704">
        <v>1</v>
      </c>
      <c r="F1666" s="704">
        <v>100</v>
      </c>
      <c r="H1666">
        <f t="shared" si="114"/>
        <v>4213</v>
      </c>
      <c r="I1666" t="str">
        <f t="shared" si="115"/>
        <v>Rest of Qld</v>
      </c>
    </row>
    <row r="1667" spans="1:9" x14ac:dyDescent="0.2">
      <c r="A1667" s="704">
        <v>4214</v>
      </c>
      <c r="B1667" s="704">
        <v>4214</v>
      </c>
      <c r="C1667" s="704" t="s">
        <v>579</v>
      </c>
      <c r="D1667" s="704" t="s">
        <v>533</v>
      </c>
      <c r="E1667" s="704">
        <v>1</v>
      </c>
      <c r="F1667" s="704">
        <v>100</v>
      </c>
      <c r="H1667">
        <f t="shared" si="114"/>
        <v>4214</v>
      </c>
      <c r="I1667" t="str">
        <f t="shared" si="115"/>
        <v>Rest of Qld</v>
      </c>
    </row>
    <row r="1668" spans="1:9" x14ac:dyDescent="0.2">
      <c r="A1668" s="704">
        <v>4215</v>
      </c>
      <c r="B1668" s="704">
        <v>4215</v>
      </c>
      <c r="C1668" s="704" t="s">
        <v>579</v>
      </c>
      <c r="D1668" s="704" t="s">
        <v>533</v>
      </c>
      <c r="E1668" s="704">
        <v>0.99677499999999997</v>
      </c>
      <c r="F1668" s="704">
        <v>99.677499999999995</v>
      </c>
      <c r="H1668">
        <f t="shared" si="114"/>
        <v>4215</v>
      </c>
      <c r="I1668" t="str">
        <f t="shared" si="115"/>
        <v>Rest of Qld</v>
      </c>
    </row>
    <row r="1669" spans="1:9" x14ac:dyDescent="0.2">
      <c r="A1669" s="704">
        <v>4216</v>
      </c>
      <c r="B1669" s="704">
        <v>4216</v>
      </c>
      <c r="C1669" s="704" t="s">
        <v>579</v>
      </c>
      <c r="D1669" s="704" t="s">
        <v>533</v>
      </c>
      <c r="E1669" s="704">
        <v>0.98689400000000005</v>
      </c>
      <c r="F1669" s="704">
        <v>98.689400000000006</v>
      </c>
      <c r="H1669">
        <f t="shared" si="114"/>
        <v>4216</v>
      </c>
      <c r="I1669" t="str">
        <f t="shared" si="115"/>
        <v>Rest of Qld</v>
      </c>
    </row>
    <row r="1670" spans="1:9" x14ac:dyDescent="0.2">
      <c r="A1670" s="704">
        <v>4217</v>
      </c>
      <c r="B1670" s="704">
        <v>4217</v>
      </c>
      <c r="C1670" s="704" t="s">
        <v>579</v>
      </c>
      <c r="D1670" s="704" t="s">
        <v>533</v>
      </c>
      <c r="E1670" s="704">
        <v>0.99162799999999995</v>
      </c>
      <c r="F1670" s="704">
        <v>99.162800000000004</v>
      </c>
      <c r="H1670">
        <f t="shared" si="114"/>
        <v>4217</v>
      </c>
      <c r="I1670" t="str">
        <f t="shared" si="115"/>
        <v>Rest of Qld</v>
      </c>
    </row>
    <row r="1671" spans="1:9" x14ac:dyDescent="0.2">
      <c r="A1671" s="704">
        <v>4218</v>
      </c>
      <c r="B1671" s="704">
        <v>4218</v>
      </c>
      <c r="C1671" s="704" t="s">
        <v>579</v>
      </c>
      <c r="D1671" s="704" t="s">
        <v>533</v>
      </c>
      <c r="E1671" s="704">
        <v>1</v>
      </c>
      <c r="F1671" s="704">
        <v>100</v>
      </c>
      <c r="H1671">
        <f t="shared" si="114"/>
        <v>4218</v>
      </c>
      <c r="I1671" t="str">
        <f t="shared" si="115"/>
        <v>Rest of Qld</v>
      </c>
    </row>
    <row r="1672" spans="1:9" x14ac:dyDescent="0.2">
      <c r="A1672" s="704">
        <v>4219</v>
      </c>
      <c r="B1672" s="704">
        <v>4219</v>
      </c>
      <c r="C1672" s="704" t="s">
        <v>579</v>
      </c>
      <c r="D1672" s="704" t="s">
        <v>533</v>
      </c>
      <c r="E1672" s="704">
        <v>1</v>
      </c>
      <c r="F1672" s="704">
        <v>100</v>
      </c>
      <c r="H1672">
        <f t="shared" si="114"/>
        <v>4219</v>
      </c>
      <c r="I1672" t="str">
        <f t="shared" si="115"/>
        <v>Rest of Qld</v>
      </c>
    </row>
    <row r="1673" spans="1:9" x14ac:dyDescent="0.2">
      <c r="A1673" s="704">
        <v>4220</v>
      </c>
      <c r="B1673" s="704">
        <v>4220</v>
      </c>
      <c r="C1673" s="704" t="s">
        <v>579</v>
      </c>
      <c r="D1673" s="704" t="s">
        <v>533</v>
      </c>
      <c r="E1673" s="704">
        <v>1</v>
      </c>
      <c r="F1673" s="704">
        <v>100</v>
      </c>
      <c r="H1673">
        <f t="shared" si="114"/>
        <v>4220</v>
      </c>
      <c r="I1673" t="str">
        <f t="shared" si="115"/>
        <v>Rest of Qld</v>
      </c>
    </row>
    <row r="1674" spans="1:9" x14ac:dyDescent="0.2">
      <c r="A1674" s="704">
        <v>4221</v>
      </c>
      <c r="B1674" s="704">
        <v>4221</v>
      </c>
      <c r="C1674" s="704" t="s">
        <v>579</v>
      </c>
      <c r="D1674" s="704" t="s">
        <v>533</v>
      </c>
      <c r="E1674" s="704">
        <v>0.99970400000000004</v>
      </c>
      <c r="F1674" s="704">
        <v>99.970399999999998</v>
      </c>
      <c r="H1674">
        <f t="shared" si="114"/>
        <v>4221</v>
      </c>
      <c r="I1674" t="str">
        <f t="shared" si="115"/>
        <v>Rest of Qld</v>
      </c>
    </row>
    <row r="1675" spans="1:9" x14ac:dyDescent="0.2">
      <c r="A1675" s="704">
        <v>4223</v>
      </c>
      <c r="B1675" s="704">
        <v>4223</v>
      </c>
      <c r="C1675" s="704" t="s">
        <v>578</v>
      </c>
      <c r="D1675" s="704" t="s">
        <v>530</v>
      </c>
      <c r="E1675" s="704">
        <v>2.8400999999999999E-3</v>
      </c>
      <c r="F1675" s="704">
        <v>0.28401500000000002</v>
      </c>
      <c r="H1675">
        <f t="shared" si="114"/>
        <v>4223</v>
      </c>
      <c r="I1675" t="str">
        <f t="shared" si="115"/>
        <v>Rest of NSW</v>
      </c>
    </row>
    <row r="1676" spans="1:9" x14ac:dyDescent="0.2">
      <c r="A1676" s="704">
        <v>4223</v>
      </c>
      <c r="B1676" s="704">
        <v>4223</v>
      </c>
      <c r="C1676" s="704" t="s">
        <v>579</v>
      </c>
      <c r="D1676" s="704" t="s">
        <v>533</v>
      </c>
      <c r="E1676" s="704">
        <v>0.99716000000000005</v>
      </c>
      <c r="F1676" s="704">
        <v>99.715999999999994</v>
      </c>
      <c r="H1676">
        <f t="shared" si="114"/>
        <v>4223</v>
      </c>
      <c r="I1676" t="str">
        <f t="shared" si="115"/>
        <v>Rest of Qld</v>
      </c>
    </row>
    <row r="1677" spans="1:9" x14ac:dyDescent="0.2">
      <c r="A1677" s="704">
        <v>4224</v>
      </c>
      <c r="B1677" s="704">
        <v>4224</v>
      </c>
      <c r="C1677" s="704" t="s">
        <v>579</v>
      </c>
      <c r="D1677" s="704" t="s">
        <v>533</v>
      </c>
      <c r="E1677" s="704">
        <v>1</v>
      </c>
      <c r="F1677" s="704">
        <v>100</v>
      </c>
      <c r="H1677">
        <f t="shared" si="114"/>
        <v>4224</v>
      </c>
      <c r="I1677" t="str">
        <f t="shared" si="115"/>
        <v>Rest of Qld</v>
      </c>
    </row>
    <row r="1678" spans="1:9" x14ac:dyDescent="0.2">
      <c r="A1678" s="704">
        <v>4225</v>
      </c>
      <c r="B1678" s="704">
        <v>4225</v>
      </c>
      <c r="C1678" s="704" t="s">
        <v>578</v>
      </c>
      <c r="D1678" s="704" t="s">
        <v>530</v>
      </c>
      <c r="E1678" s="704">
        <v>6.8786000000000003E-3</v>
      </c>
      <c r="F1678" s="704">
        <v>0.68785700000000005</v>
      </c>
      <c r="H1678">
        <f t="shared" si="114"/>
        <v>4225</v>
      </c>
      <c r="I1678" t="str">
        <f t="shared" si="115"/>
        <v>Rest of NSW</v>
      </c>
    </row>
    <row r="1679" spans="1:9" x14ac:dyDescent="0.2">
      <c r="A1679" s="704">
        <v>4225</v>
      </c>
      <c r="B1679" s="704">
        <v>4225</v>
      </c>
      <c r="C1679" s="704" t="s">
        <v>579</v>
      </c>
      <c r="D1679" s="704" t="s">
        <v>533</v>
      </c>
      <c r="E1679" s="704">
        <v>0.99312100000000003</v>
      </c>
      <c r="F1679" s="704">
        <v>99.312100000000001</v>
      </c>
      <c r="H1679">
        <f t="shared" si="114"/>
        <v>4225</v>
      </c>
      <c r="I1679" t="str">
        <f t="shared" si="115"/>
        <v>Rest of Qld</v>
      </c>
    </row>
    <row r="1680" spans="1:9" x14ac:dyDescent="0.2">
      <c r="A1680" s="704">
        <v>4226</v>
      </c>
      <c r="B1680" s="704">
        <v>4226</v>
      </c>
      <c r="C1680" s="704" t="s">
        <v>579</v>
      </c>
      <c r="D1680" s="704" t="s">
        <v>533</v>
      </c>
      <c r="E1680" s="704">
        <v>1</v>
      </c>
      <c r="F1680" s="704">
        <v>100</v>
      </c>
      <c r="H1680">
        <f t="shared" si="114"/>
        <v>4226</v>
      </c>
      <c r="I1680" t="str">
        <f t="shared" si="115"/>
        <v>Rest of Qld</v>
      </c>
    </row>
    <row r="1681" spans="1:9" x14ac:dyDescent="0.2">
      <c r="A1681" s="704">
        <v>4227</v>
      </c>
      <c r="B1681" s="704">
        <v>4227</v>
      </c>
      <c r="C1681" s="704" t="s">
        <v>579</v>
      </c>
      <c r="D1681" s="704" t="s">
        <v>533</v>
      </c>
      <c r="E1681" s="704">
        <v>1</v>
      </c>
      <c r="F1681" s="704">
        <v>100</v>
      </c>
      <c r="H1681">
        <f t="shared" si="114"/>
        <v>4227</v>
      </c>
      <c r="I1681" t="str">
        <f t="shared" si="115"/>
        <v>Rest of Qld</v>
      </c>
    </row>
    <row r="1682" spans="1:9" x14ac:dyDescent="0.2">
      <c r="A1682" s="704">
        <v>4228</v>
      </c>
      <c r="B1682" s="704">
        <v>4228</v>
      </c>
      <c r="C1682" s="704" t="s">
        <v>579</v>
      </c>
      <c r="D1682" s="704" t="s">
        <v>533</v>
      </c>
      <c r="E1682" s="704">
        <v>1</v>
      </c>
      <c r="F1682" s="704">
        <v>100</v>
      </c>
      <c r="H1682">
        <f t="shared" si="114"/>
        <v>4228</v>
      </c>
      <c r="I1682" t="str">
        <f t="shared" si="115"/>
        <v>Rest of Qld</v>
      </c>
    </row>
    <row r="1683" spans="1:9" x14ac:dyDescent="0.2">
      <c r="A1683" s="704">
        <v>4229</v>
      </c>
      <c r="B1683" s="704">
        <v>4229</v>
      </c>
      <c r="C1683" s="704" t="s">
        <v>579</v>
      </c>
      <c r="D1683" s="704" t="s">
        <v>533</v>
      </c>
      <c r="E1683" s="704">
        <v>1</v>
      </c>
      <c r="F1683" s="704">
        <v>100</v>
      </c>
      <c r="H1683">
        <f t="shared" si="114"/>
        <v>4229</v>
      </c>
      <c r="I1683" t="str">
        <f t="shared" si="115"/>
        <v>Rest of Qld</v>
      </c>
    </row>
    <row r="1684" spans="1:9" x14ac:dyDescent="0.2">
      <c r="A1684" s="704">
        <v>4230</v>
      </c>
      <c r="B1684" s="704">
        <v>4230</v>
      </c>
      <c r="C1684" s="704" t="s">
        <v>579</v>
      </c>
      <c r="D1684" s="704" t="s">
        <v>533</v>
      </c>
      <c r="E1684" s="704">
        <v>1</v>
      </c>
      <c r="F1684" s="704">
        <v>100</v>
      </c>
      <c r="H1684">
        <f t="shared" si="114"/>
        <v>4230</v>
      </c>
      <c r="I1684" t="str">
        <f t="shared" si="115"/>
        <v>Rest of Qld</v>
      </c>
    </row>
    <row r="1685" spans="1:9" x14ac:dyDescent="0.2">
      <c r="A1685" s="704">
        <v>4270</v>
      </c>
      <c r="B1685" s="704">
        <v>4270</v>
      </c>
      <c r="C1685" s="704" t="s">
        <v>584</v>
      </c>
      <c r="D1685" s="704" t="s">
        <v>547</v>
      </c>
      <c r="E1685" s="704">
        <v>0.330486</v>
      </c>
      <c r="F1685" s="704">
        <v>33.0486</v>
      </c>
      <c r="H1685">
        <f t="shared" si="114"/>
        <v>4270</v>
      </c>
      <c r="I1685" t="str">
        <f t="shared" si="115"/>
        <v>Greater Brisbane</v>
      </c>
    </row>
    <row r="1686" spans="1:9" x14ac:dyDescent="0.2">
      <c r="A1686" s="704">
        <v>4270</v>
      </c>
      <c r="B1686" s="704">
        <v>4270</v>
      </c>
      <c r="C1686" s="704" t="s">
        <v>579</v>
      </c>
      <c r="D1686" s="704" t="s">
        <v>533</v>
      </c>
      <c r="E1686" s="704">
        <v>0.66951400000000005</v>
      </c>
      <c r="F1686" s="704">
        <v>66.951400000000007</v>
      </c>
      <c r="H1686">
        <f t="shared" si="114"/>
        <v>4270</v>
      </c>
      <c r="I1686" t="str">
        <f t="shared" si="115"/>
        <v>Rest of Qld</v>
      </c>
    </row>
    <row r="1687" spans="1:9" x14ac:dyDescent="0.2">
      <c r="A1687" s="704">
        <v>4271</v>
      </c>
      <c r="B1687" s="704">
        <v>4271</v>
      </c>
      <c r="C1687" s="704" t="s">
        <v>579</v>
      </c>
      <c r="D1687" s="704" t="s">
        <v>533</v>
      </c>
      <c r="E1687" s="704">
        <v>1</v>
      </c>
      <c r="F1687" s="704">
        <v>100</v>
      </c>
      <c r="H1687">
        <f t="shared" si="114"/>
        <v>4271</v>
      </c>
      <c r="I1687" t="str">
        <f t="shared" si="115"/>
        <v>Rest of Qld</v>
      </c>
    </row>
    <row r="1688" spans="1:9" x14ac:dyDescent="0.2">
      <c r="A1688" s="704">
        <v>4272</v>
      </c>
      <c r="B1688" s="704">
        <v>4272</v>
      </c>
      <c r="C1688" s="704" t="s">
        <v>579</v>
      </c>
      <c r="D1688" s="704" t="s">
        <v>533</v>
      </c>
      <c r="E1688" s="704">
        <v>1</v>
      </c>
      <c r="F1688" s="704">
        <v>100</v>
      </c>
      <c r="H1688">
        <f t="shared" si="114"/>
        <v>4272</v>
      </c>
      <c r="I1688" t="str">
        <f t="shared" si="115"/>
        <v>Rest of Qld</v>
      </c>
    </row>
    <row r="1689" spans="1:9" x14ac:dyDescent="0.2">
      <c r="A1689" s="704">
        <v>4275</v>
      </c>
      <c r="B1689" s="704">
        <v>4275</v>
      </c>
      <c r="C1689" s="704" t="s">
        <v>584</v>
      </c>
      <c r="D1689" s="704" t="s">
        <v>547</v>
      </c>
      <c r="E1689" s="704">
        <v>5.3770400000000003E-2</v>
      </c>
      <c r="F1689" s="704">
        <v>5.37704</v>
      </c>
      <c r="H1689">
        <f t="shared" si="114"/>
        <v>4275</v>
      </c>
      <c r="I1689" t="str">
        <f t="shared" si="115"/>
        <v>Greater Brisbane</v>
      </c>
    </row>
    <row r="1690" spans="1:9" x14ac:dyDescent="0.2">
      <c r="A1690" s="704">
        <v>4275</v>
      </c>
      <c r="B1690" s="704">
        <v>4275</v>
      </c>
      <c r="C1690" s="704" t="s">
        <v>579</v>
      </c>
      <c r="D1690" s="704" t="s">
        <v>533</v>
      </c>
      <c r="E1690" s="704">
        <v>0.94623000000000002</v>
      </c>
      <c r="F1690" s="704">
        <v>94.623000000000005</v>
      </c>
      <c r="H1690">
        <f t="shared" si="114"/>
        <v>4275</v>
      </c>
      <c r="I1690" t="str">
        <f t="shared" si="115"/>
        <v>Rest of Qld</v>
      </c>
    </row>
    <row r="1691" spans="1:9" x14ac:dyDescent="0.2">
      <c r="A1691" s="704">
        <v>4280</v>
      </c>
      <c r="B1691" s="704">
        <v>4280</v>
      </c>
      <c r="C1691" s="704" t="s">
        <v>584</v>
      </c>
      <c r="D1691" s="704" t="s">
        <v>547</v>
      </c>
      <c r="E1691" s="704">
        <v>1</v>
      </c>
      <c r="F1691" s="704">
        <v>100</v>
      </c>
      <c r="H1691">
        <f t="shared" si="114"/>
        <v>4280</v>
      </c>
      <c r="I1691" t="str">
        <f t="shared" si="115"/>
        <v>Greater Brisbane</v>
      </c>
    </row>
    <row r="1692" spans="1:9" x14ac:dyDescent="0.2">
      <c r="A1692" s="704">
        <v>4285</v>
      </c>
      <c r="B1692" s="704">
        <v>4285</v>
      </c>
      <c r="C1692" s="704" t="s">
        <v>584</v>
      </c>
      <c r="D1692" s="704" t="s">
        <v>547</v>
      </c>
      <c r="E1692" s="704">
        <v>1</v>
      </c>
      <c r="F1692" s="704">
        <v>100</v>
      </c>
      <c r="H1692">
        <f t="shared" si="114"/>
        <v>4285</v>
      </c>
      <c r="I1692" t="str">
        <f t="shared" si="115"/>
        <v>Greater Brisbane</v>
      </c>
    </row>
    <row r="1693" spans="1:9" x14ac:dyDescent="0.2">
      <c r="A1693" s="704">
        <v>4287</v>
      </c>
      <c r="B1693" s="704">
        <v>4287</v>
      </c>
      <c r="C1693" s="704" t="s">
        <v>578</v>
      </c>
      <c r="D1693" s="704" t="s">
        <v>530</v>
      </c>
      <c r="E1693" s="704">
        <v>1.7579E-3</v>
      </c>
      <c r="F1693" s="704">
        <v>0.175785</v>
      </c>
      <c r="H1693">
        <f t="shared" si="114"/>
        <v>4287</v>
      </c>
      <c r="I1693" t="str">
        <f t="shared" si="115"/>
        <v>Rest of NSW</v>
      </c>
    </row>
    <row r="1694" spans="1:9" x14ac:dyDescent="0.2">
      <c r="A1694" s="704">
        <v>4287</v>
      </c>
      <c r="B1694" s="704">
        <v>4287</v>
      </c>
      <c r="C1694" s="704" t="s">
        <v>584</v>
      </c>
      <c r="D1694" s="704" t="s">
        <v>547</v>
      </c>
      <c r="E1694" s="704">
        <v>0.99824199999999996</v>
      </c>
      <c r="F1694" s="704">
        <v>99.824200000000005</v>
      </c>
      <c r="H1694">
        <f t="shared" si="114"/>
        <v>4287</v>
      </c>
      <c r="I1694" t="str">
        <f t="shared" si="115"/>
        <v>Greater Brisbane</v>
      </c>
    </row>
    <row r="1695" spans="1:9" x14ac:dyDescent="0.2">
      <c r="A1695" s="704">
        <v>4300</v>
      </c>
      <c r="B1695" s="704">
        <v>4300</v>
      </c>
      <c r="C1695" s="704" t="s">
        <v>584</v>
      </c>
      <c r="D1695" s="704" t="s">
        <v>547</v>
      </c>
      <c r="E1695" s="704">
        <v>1</v>
      </c>
      <c r="F1695" s="704">
        <v>100</v>
      </c>
      <c r="H1695">
        <f t="shared" si="114"/>
        <v>4300</v>
      </c>
      <c r="I1695" t="str">
        <f t="shared" si="115"/>
        <v>Greater Brisbane</v>
      </c>
    </row>
    <row r="1696" spans="1:9" x14ac:dyDescent="0.2">
      <c r="A1696" s="704">
        <v>4301</v>
      </c>
      <c r="B1696" s="704">
        <v>4301</v>
      </c>
      <c r="C1696" s="704" t="s">
        <v>584</v>
      </c>
      <c r="D1696" s="704" t="s">
        <v>547</v>
      </c>
      <c r="E1696" s="704">
        <v>1</v>
      </c>
      <c r="F1696" s="704">
        <v>100</v>
      </c>
      <c r="H1696">
        <f t="shared" si="114"/>
        <v>4301</v>
      </c>
      <c r="I1696" t="str">
        <f t="shared" si="115"/>
        <v>Greater Brisbane</v>
      </c>
    </row>
    <row r="1697" spans="1:9" x14ac:dyDescent="0.2">
      <c r="A1697" s="704">
        <v>4303</v>
      </c>
      <c r="B1697" s="704">
        <v>4303</v>
      </c>
      <c r="C1697" s="704" t="s">
        <v>584</v>
      </c>
      <c r="D1697" s="704" t="s">
        <v>547</v>
      </c>
      <c r="E1697" s="704">
        <v>1</v>
      </c>
      <c r="F1697" s="704">
        <v>100</v>
      </c>
      <c r="H1697">
        <f t="shared" si="114"/>
        <v>4303</v>
      </c>
      <c r="I1697" t="str">
        <f t="shared" si="115"/>
        <v>Greater Brisbane</v>
      </c>
    </row>
    <row r="1698" spans="1:9" x14ac:dyDescent="0.2">
      <c r="A1698" s="704">
        <v>4304</v>
      </c>
      <c r="B1698" s="704">
        <v>4304</v>
      </c>
      <c r="C1698" s="704" t="s">
        <v>584</v>
      </c>
      <c r="D1698" s="704" t="s">
        <v>547</v>
      </c>
      <c r="E1698" s="704">
        <v>1</v>
      </c>
      <c r="F1698" s="704">
        <v>100</v>
      </c>
      <c r="H1698">
        <f t="shared" si="114"/>
        <v>4304</v>
      </c>
      <c r="I1698" t="str">
        <f t="shared" si="115"/>
        <v>Greater Brisbane</v>
      </c>
    </row>
    <row r="1699" spans="1:9" x14ac:dyDescent="0.2">
      <c r="A1699" s="704">
        <v>4305</v>
      </c>
      <c r="B1699" s="704">
        <v>4305</v>
      </c>
      <c r="C1699" s="704" t="s">
        <v>584</v>
      </c>
      <c r="D1699" s="704" t="s">
        <v>547</v>
      </c>
      <c r="E1699" s="704">
        <v>1</v>
      </c>
      <c r="F1699" s="704">
        <v>100</v>
      </c>
      <c r="H1699">
        <f t="shared" si="114"/>
        <v>4305</v>
      </c>
      <c r="I1699" t="str">
        <f t="shared" si="115"/>
        <v>Greater Brisbane</v>
      </c>
    </row>
    <row r="1700" spans="1:9" x14ac:dyDescent="0.2">
      <c r="A1700" s="704">
        <v>4306</v>
      </c>
      <c r="B1700" s="704">
        <v>4306</v>
      </c>
      <c r="C1700" s="704" t="s">
        <v>584</v>
      </c>
      <c r="D1700" s="704" t="s">
        <v>547</v>
      </c>
      <c r="E1700" s="704">
        <v>0.92807499999999998</v>
      </c>
      <c r="F1700" s="704">
        <v>92.807500000000005</v>
      </c>
      <c r="H1700">
        <f t="shared" si="114"/>
        <v>4306</v>
      </c>
      <c r="I1700" t="str">
        <f t="shared" si="115"/>
        <v>Greater Brisbane</v>
      </c>
    </row>
    <row r="1701" spans="1:9" x14ac:dyDescent="0.2">
      <c r="A1701" s="704">
        <v>4306</v>
      </c>
      <c r="B1701" s="704">
        <v>4306</v>
      </c>
      <c r="C1701" s="704" t="s">
        <v>579</v>
      </c>
      <c r="D1701" s="704" t="s">
        <v>533</v>
      </c>
      <c r="E1701" s="704">
        <v>7.1925100000000006E-2</v>
      </c>
      <c r="F1701" s="704">
        <v>7.1925100000000004</v>
      </c>
      <c r="H1701">
        <f t="shared" si="114"/>
        <v>4306</v>
      </c>
      <c r="I1701" t="str">
        <f t="shared" si="115"/>
        <v>Rest of Qld</v>
      </c>
    </row>
    <row r="1702" spans="1:9" x14ac:dyDescent="0.2">
      <c r="A1702" s="704">
        <v>4307</v>
      </c>
      <c r="B1702" s="704">
        <v>4307</v>
      </c>
      <c r="C1702" s="704" t="s">
        <v>584</v>
      </c>
      <c r="D1702" s="704" t="s">
        <v>547</v>
      </c>
      <c r="E1702" s="704">
        <v>1</v>
      </c>
      <c r="F1702" s="704">
        <v>100</v>
      </c>
      <c r="H1702">
        <f t="shared" si="114"/>
        <v>4307</v>
      </c>
      <c r="I1702" t="str">
        <f t="shared" si="115"/>
        <v>Greater Brisbane</v>
      </c>
    </row>
    <row r="1703" spans="1:9" x14ac:dyDescent="0.2">
      <c r="A1703" s="704">
        <v>4309</v>
      </c>
      <c r="B1703" s="704">
        <v>4309</v>
      </c>
      <c r="C1703" s="704" t="s">
        <v>584</v>
      </c>
      <c r="D1703" s="704" t="s">
        <v>547</v>
      </c>
      <c r="E1703" s="704">
        <v>1</v>
      </c>
      <c r="F1703" s="704">
        <v>100</v>
      </c>
      <c r="H1703">
        <f t="shared" si="114"/>
        <v>4309</v>
      </c>
      <c r="I1703" t="str">
        <f t="shared" si="115"/>
        <v>Greater Brisbane</v>
      </c>
    </row>
    <row r="1704" spans="1:9" x14ac:dyDescent="0.2">
      <c r="A1704" s="704">
        <v>4310</v>
      </c>
      <c r="B1704" s="704">
        <v>4310</v>
      </c>
      <c r="C1704" s="704" t="s">
        <v>584</v>
      </c>
      <c r="D1704" s="704" t="s">
        <v>547</v>
      </c>
      <c r="E1704" s="704">
        <v>1</v>
      </c>
      <c r="F1704" s="704">
        <v>100</v>
      </c>
      <c r="H1704">
        <f t="shared" si="114"/>
        <v>4310</v>
      </c>
      <c r="I1704" t="str">
        <f t="shared" si="115"/>
        <v>Greater Brisbane</v>
      </c>
    </row>
    <row r="1705" spans="1:9" x14ac:dyDescent="0.2">
      <c r="A1705" s="704">
        <v>4311</v>
      </c>
      <c r="B1705" s="704">
        <v>4311</v>
      </c>
      <c r="C1705" s="704" t="s">
        <v>584</v>
      </c>
      <c r="D1705" s="704" t="s">
        <v>547</v>
      </c>
      <c r="E1705" s="704">
        <v>0.99989300000000003</v>
      </c>
      <c r="F1705" s="704">
        <v>99.989400000000003</v>
      </c>
      <c r="H1705">
        <f t="shared" si="114"/>
        <v>4311</v>
      </c>
      <c r="I1705" t="str">
        <f t="shared" si="115"/>
        <v>Greater Brisbane</v>
      </c>
    </row>
    <row r="1706" spans="1:9" x14ac:dyDescent="0.2">
      <c r="A1706" s="704">
        <v>4311</v>
      </c>
      <c r="B1706" s="704">
        <v>4311</v>
      </c>
      <c r="C1706" s="704" t="s">
        <v>579</v>
      </c>
      <c r="D1706" s="704" t="s">
        <v>533</v>
      </c>
      <c r="E1706" s="704">
        <v>1.065E-4</v>
      </c>
      <c r="F1706" s="704">
        <v>1.06499E-2</v>
      </c>
      <c r="H1706">
        <f t="shared" si="114"/>
        <v>4311</v>
      </c>
      <c r="I1706" t="str">
        <f t="shared" si="115"/>
        <v>Rest of Qld</v>
      </c>
    </row>
    <row r="1707" spans="1:9" x14ac:dyDescent="0.2">
      <c r="A1707" s="704">
        <v>4312</v>
      </c>
      <c r="B1707" s="704">
        <v>4312</v>
      </c>
      <c r="C1707" s="704" t="s">
        <v>584</v>
      </c>
      <c r="D1707" s="704" t="s">
        <v>547</v>
      </c>
      <c r="E1707" s="704">
        <v>1</v>
      </c>
      <c r="F1707" s="704">
        <v>100</v>
      </c>
      <c r="H1707">
        <f t="shared" si="114"/>
        <v>4312</v>
      </c>
      <c r="I1707" t="str">
        <f t="shared" si="115"/>
        <v>Greater Brisbane</v>
      </c>
    </row>
    <row r="1708" spans="1:9" x14ac:dyDescent="0.2">
      <c r="A1708" s="704">
        <v>4313</v>
      </c>
      <c r="B1708" s="704">
        <v>4313</v>
      </c>
      <c r="C1708" s="704" t="s">
        <v>584</v>
      </c>
      <c r="D1708" s="704" t="s">
        <v>547</v>
      </c>
      <c r="E1708" s="704">
        <v>1</v>
      </c>
      <c r="F1708" s="704">
        <v>100</v>
      </c>
      <c r="H1708">
        <f t="shared" si="114"/>
        <v>4313</v>
      </c>
      <c r="I1708" t="str">
        <f t="shared" si="115"/>
        <v>Greater Brisbane</v>
      </c>
    </row>
    <row r="1709" spans="1:9" x14ac:dyDescent="0.2">
      <c r="A1709" s="704">
        <v>4340</v>
      </c>
      <c r="B1709" s="704">
        <v>4340</v>
      </c>
      <c r="C1709" s="704" t="s">
        <v>584</v>
      </c>
      <c r="D1709" s="704" t="s">
        <v>547</v>
      </c>
      <c r="E1709" s="704">
        <v>1</v>
      </c>
      <c r="F1709" s="704">
        <v>100</v>
      </c>
      <c r="H1709">
        <f t="shared" si="114"/>
        <v>4340</v>
      </c>
      <c r="I1709" t="str">
        <f t="shared" si="115"/>
        <v>Greater Brisbane</v>
      </c>
    </row>
    <row r="1710" spans="1:9" x14ac:dyDescent="0.2">
      <c r="A1710" s="704">
        <v>4341</v>
      </c>
      <c r="B1710" s="704">
        <v>4341</v>
      </c>
      <c r="C1710" s="704" t="s">
        <v>584</v>
      </c>
      <c r="D1710" s="704" t="s">
        <v>547</v>
      </c>
      <c r="E1710" s="704">
        <v>0.99997400000000003</v>
      </c>
      <c r="F1710" s="704">
        <v>99.997399999999999</v>
      </c>
      <c r="H1710">
        <f t="shared" si="114"/>
        <v>4341</v>
      </c>
      <c r="I1710" t="str">
        <f t="shared" si="115"/>
        <v>Greater Brisbane</v>
      </c>
    </row>
    <row r="1711" spans="1:9" x14ac:dyDescent="0.2">
      <c r="A1711" s="704">
        <v>4342</v>
      </c>
      <c r="B1711" s="704">
        <v>4342</v>
      </c>
      <c r="C1711" s="704" t="s">
        <v>584</v>
      </c>
      <c r="D1711" s="704" t="s">
        <v>547</v>
      </c>
      <c r="E1711" s="704">
        <v>0.99897899999999995</v>
      </c>
      <c r="F1711" s="704">
        <v>99.897900000000007</v>
      </c>
      <c r="H1711">
        <f t="shared" si="114"/>
        <v>4342</v>
      </c>
      <c r="I1711" t="str">
        <f t="shared" si="115"/>
        <v>Greater Brisbane</v>
      </c>
    </row>
    <row r="1712" spans="1:9" x14ac:dyDescent="0.2">
      <c r="A1712" s="704">
        <v>4342</v>
      </c>
      <c r="B1712" s="704">
        <v>4342</v>
      </c>
      <c r="C1712" s="704" t="s">
        <v>579</v>
      </c>
      <c r="D1712" s="704" t="s">
        <v>533</v>
      </c>
      <c r="E1712" s="704">
        <v>1.0211E-3</v>
      </c>
      <c r="F1712" s="704">
        <v>0.10211000000000001</v>
      </c>
      <c r="H1712">
        <f t="shared" si="114"/>
        <v>4342</v>
      </c>
      <c r="I1712" t="str">
        <f t="shared" si="115"/>
        <v>Rest of Qld</v>
      </c>
    </row>
    <row r="1713" spans="1:9" x14ac:dyDescent="0.2">
      <c r="A1713" s="704">
        <v>4343</v>
      </c>
      <c r="B1713" s="704">
        <v>4343</v>
      </c>
      <c r="C1713" s="704" t="s">
        <v>584</v>
      </c>
      <c r="D1713" s="704" t="s">
        <v>547</v>
      </c>
      <c r="E1713" s="704">
        <v>7.3641700000000004E-2</v>
      </c>
      <c r="F1713" s="704">
        <v>7.3641699999999997</v>
      </c>
      <c r="H1713">
        <f t="shared" si="114"/>
        <v>4343</v>
      </c>
      <c r="I1713" t="str">
        <f t="shared" si="115"/>
        <v>Greater Brisbane</v>
      </c>
    </row>
    <row r="1714" spans="1:9" x14ac:dyDescent="0.2">
      <c r="A1714" s="704">
        <v>4343</v>
      </c>
      <c r="B1714" s="704">
        <v>4343</v>
      </c>
      <c r="C1714" s="704" t="s">
        <v>579</v>
      </c>
      <c r="D1714" s="704" t="s">
        <v>533</v>
      </c>
      <c r="E1714" s="704">
        <v>0.92635800000000001</v>
      </c>
      <c r="F1714" s="704">
        <v>92.635800000000003</v>
      </c>
      <c r="H1714">
        <f t="shared" si="114"/>
        <v>4343</v>
      </c>
      <c r="I1714" t="str">
        <f t="shared" si="115"/>
        <v>Rest of Qld</v>
      </c>
    </row>
    <row r="1715" spans="1:9" x14ac:dyDescent="0.2">
      <c r="A1715" s="704">
        <v>4344</v>
      </c>
      <c r="B1715" s="704">
        <v>4344</v>
      </c>
      <c r="C1715" s="704" t="s">
        <v>579</v>
      </c>
      <c r="D1715" s="704" t="s">
        <v>533</v>
      </c>
      <c r="E1715" s="704">
        <v>1</v>
      </c>
      <c r="F1715" s="704">
        <v>100</v>
      </c>
      <c r="H1715">
        <f t="shared" si="114"/>
        <v>4344</v>
      </c>
      <c r="I1715" t="str">
        <f t="shared" si="115"/>
        <v>Rest of Qld</v>
      </c>
    </row>
    <row r="1716" spans="1:9" x14ac:dyDescent="0.2">
      <c r="A1716" s="704">
        <v>4345</v>
      </c>
      <c r="B1716" s="704">
        <v>4345</v>
      </c>
      <c r="C1716" s="704" t="s">
        <v>579</v>
      </c>
      <c r="D1716" s="704" t="s">
        <v>533</v>
      </c>
      <c r="E1716" s="704">
        <v>1</v>
      </c>
      <c r="F1716" s="704">
        <v>100</v>
      </c>
      <c r="H1716">
        <f t="shared" si="114"/>
        <v>4345</v>
      </c>
      <c r="I1716" t="str">
        <f t="shared" si="115"/>
        <v>Rest of Qld</v>
      </c>
    </row>
    <row r="1717" spans="1:9" x14ac:dyDescent="0.2">
      <c r="A1717" s="704">
        <v>4346</v>
      </c>
      <c r="B1717" s="704">
        <v>4346</v>
      </c>
      <c r="C1717" s="704" t="s">
        <v>584</v>
      </c>
      <c r="D1717" s="704" t="s">
        <v>547</v>
      </c>
      <c r="E1717" s="704">
        <v>1</v>
      </c>
      <c r="F1717" s="704">
        <v>100</v>
      </c>
      <c r="H1717">
        <f t="shared" si="114"/>
        <v>4346</v>
      </c>
      <c r="I1717" t="str">
        <f t="shared" si="115"/>
        <v>Greater Brisbane</v>
      </c>
    </row>
    <row r="1718" spans="1:9" x14ac:dyDescent="0.2">
      <c r="A1718" s="704">
        <v>4347</v>
      </c>
      <c r="B1718" s="704">
        <v>4347</v>
      </c>
      <c r="C1718" s="704" t="s">
        <v>579</v>
      </c>
      <c r="D1718" s="704" t="s">
        <v>533</v>
      </c>
      <c r="E1718" s="704">
        <v>1</v>
      </c>
      <c r="F1718" s="704">
        <v>100</v>
      </c>
      <c r="H1718">
        <f t="shared" si="114"/>
        <v>4347</v>
      </c>
      <c r="I1718" t="str">
        <f t="shared" si="115"/>
        <v>Rest of Qld</v>
      </c>
    </row>
    <row r="1719" spans="1:9" x14ac:dyDescent="0.2">
      <c r="A1719" s="704">
        <v>4350</v>
      </c>
      <c r="B1719" s="704">
        <v>4350</v>
      </c>
      <c r="C1719" s="704" t="s">
        <v>579</v>
      </c>
      <c r="D1719" s="704" t="s">
        <v>533</v>
      </c>
      <c r="E1719" s="704">
        <v>1</v>
      </c>
      <c r="F1719" s="704">
        <v>100</v>
      </c>
      <c r="H1719">
        <f t="shared" si="114"/>
        <v>4350</v>
      </c>
      <c r="I1719" t="str">
        <f t="shared" si="115"/>
        <v>Rest of Qld</v>
      </c>
    </row>
    <row r="1720" spans="1:9" x14ac:dyDescent="0.2">
      <c r="A1720" s="704">
        <v>4352</v>
      </c>
      <c r="B1720" s="704">
        <v>4352</v>
      </c>
      <c r="C1720" s="704" t="s">
        <v>579</v>
      </c>
      <c r="D1720" s="704" t="s">
        <v>533</v>
      </c>
      <c r="E1720" s="704">
        <v>1</v>
      </c>
      <c r="F1720" s="704">
        <v>100</v>
      </c>
      <c r="H1720">
        <f t="shared" si="114"/>
        <v>4352</v>
      </c>
      <c r="I1720" t="str">
        <f t="shared" si="115"/>
        <v>Rest of Qld</v>
      </c>
    </row>
    <row r="1721" spans="1:9" x14ac:dyDescent="0.2">
      <c r="A1721" s="704">
        <v>4353</v>
      </c>
      <c r="B1721" s="704">
        <v>4353</v>
      </c>
      <c r="C1721" s="704" t="s">
        <v>579</v>
      </c>
      <c r="D1721" s="704" t="s">
        <v>533</v>
      </c>
      <c r="E1721" s="704">
        <v>1</v>
      </c>
      <c r="F1721" s="704">
        <v>100</v>
      </c>
      <c r="H1721">
        <f t="shared" ref="H1721:H1784" si="116">A1721*1</f>
        <v>4353</v>
      </c>
      <c r="I1721" t="str">
        <f t="shared" ref="I1721:I1784" si="117">D1721</f>
        <v>Rest of Qld</v>
      </c>
    </row>
    <row r="1722" spans="1:9" x14ac:dyDescent="0.2">
      <c r="A1722" s="704">
        <v>4354</v>
      </c>
      <c r="B1722" s="704">
        <v>4354</v>
      </c>
      <c r="C1722" s="704" t="s">
        <v>579</v>
      </c>
      <c r="D1722" s="704" t="s">
        <v>533</v>
      </c>
      <c r="E1722" s="704">
        <v>1</v>
      </c>
      <c r="F1722" s="704">
        <v>100</v>
      </c>
      <c r="H1722">
        <f t="shared" si="116"/>
        <v>4354</v>
      </c>
      <c r="I1722" t="str">
        <f t="shared" si="117"/>
        <v>Rest of Qld</v>
      </c>
    </row>
    <row r="1723" spans="1:9" x14ac:dyDescent="0.2">
      <c r="A1723" s="704">
        <v>4355</v>
      </c>
      <c r="B1723" s="704">
        <v>4355</v>
      </c>
      <c r="C1723" s="704" t="s">
        <v>579</v>
      </c>
      <c r="D1723" s="704" t="s">
        <v>533</v>
      </c>
      <c r="E1723" s="704">
        <v>1</v>
      </c>
      <c r="F1723" s="704">
        <v>100</v>
      </c>
      <c r="H1723">
        <f t="shared" si="116"/>
        <v>4355</v>
      </c>
      <c r="I1723" t="str">
        <f t="shared" si="117"/>
        <v>Rest of Qld</v>
      </c>
    </row>
    <row r="1724" spans="1:9" x14ac:dyDescent="0.2">
      <c r="A1724" s="704">
        <v>4356</v>
      </c>
      <c r="B1724" s="704">
        <v>4356</v>
      </c>
      <c r="C1724" s="704" t="s">
        <v>579</v>
      </c>
      <c r="D1724" s="704" t="s">
        <v>533</v>
      </c>
      <c r="E1724" s="704">
        <v>1</v>
      </c>
      <c r="F1724" s="704">
        <v>100</v>
      </c>
      <c r="H1724">
        <f t="shared" si="116"/>
        <v>4356</v>
      </c>
      <c r="I1724" t="str">
        <f t="shared" si="117"/>
        <v>Rest of Qld</v>
      </c>
    </row>
    <row r="1725" spans="1:9" x14ac:dyDescent="0.2">
      <c r="A1725" s="704">
        <v>4357</v>
      </c>
      <c r="B1725" s="704">
        <v>4357</v>
      </c>
      <c r="C1725" s="704" t="s">
        <v>579</v>
      </c>
      <c r="D1725" s="704" t="s">
        <v>533</v>
      </c>
      <c r="E1725" s="704">
        <v>1</v>
      </c>
      <c r="F1725" s="704">
        <v>100</v>
      </c>
      <c r="H1725">
        <f t="shared" si="116"/>
        <v>4357</v>
      </c>
      <c r="I1725" t="str">
        <f t="shared" si="117"/>
        <v>Rest of Qld</v>
      </c>
    </row>
    <row r="1726" spans="1:9" x14ac:dyDescent="0.2">
      <c r="A1726" s="704">
        <v>4358</v>
      </c>
      <c r="B1726" s="704">
        <v>4358</v>
      </c>
      <c r="C1726" s="704" t="s">
        <v>579</v>
      </c>
      <c r="D1726" s="704" t="s">
        <v>533</v>
      </c>
      <c r="E1726" s="704">
        <v>1</v>
      </c>
      <c r="F1726" s="704">
        <v>100</v>
      </c>
      <c r="H1726">
        <f t="shared" si="116"/>
        <v>4358</v>
      </c>
      <c r="I1726" t="str">
        <f t="shared" si="117"/>
        <v>Rest of Qld</v>
      </c>
    </row>
    <row r="1727" spans="1:9" x14ac:dyDescent="0.2">
      <c r="A1727" s="704">
        <v>4359</v>
      </c>
      <c r="B1727" s="704">
        <v>4359</v>
      </c>
      <c r="C1727" s="704" t="s">
        <v>579</v>
      </c>
      <c r="D1727" s="704" t="s">
        <v>533</v>
      </c>
      <c r="E1727" s="704">
        <v>1</v>
      </c>
      <c r="F1727" s="704">
        <v>100</v>
      </c>
      <c r="H1727">
        <f t="shared" si="116"/>
        <v>4359</v>
      </c>
      <c r="I1727" t="str">
        <f t="shared" si="117"/>
        <v>Rest of Qld</v>
      </c>
    </row>
    <row r="1728" spans="1:9" x14ac:dyDescent="0.2">
      <c r="A1728" s="704">
        <v>4360</v>
      </c>
      <c r="B1728" s="704">
        <v>4360</v>
      </c>
      <c r="C1728" s="704" t="s">
        <v>579</v>
      </c>
      <c r="D1728" s="704" t="s">
        <v>533</v>
      </c>
      <c r="E1728" s="704">
        <v>1</v>
      </c>
      <c r="F1728" s="704">
        <v>100</v>
      </c>
      <c r="H1728">
        <f t="shared" si="116"/>
        <v>4360</v>
      </c>
      <c r="I1728" t="str">
        <f t="shared" si="117"/>
        <v>Rest of Qld</v>
      </c>
    </row>
    <row r="1729" spans="1:9" x14ac:dyDescent="0.2">
      <c r="A1729" s="704">
        <v>4361</v>
      </c>
      <c r="B1729" s="704">
        <v>4361</v>
      </c>
      <c r="C1729" s="704" t="s">
        <v>579</v>
      </c>
      <c r="D1729" s="704" t="s">
        <v>533</v>
      </c>
      <c r="E1729" s="704">
        <v>1</v>
      </c>
      <c r="F1729" s="704">
        <v>100</v>
      </c>
      <c r="H1729">
        <f t="shared" si="116"/>
        <v>4361</v>
      </c>
      <c r="I1729" t="str">
        <f t="shared" si="117"/>
        <v>Rest of Qld</v>
      </c>
    </row>
    <row r="1730" spans="1:9" x14ac:dyDescent="0.2">
      <c r="A1730" s="704">
        <v>4362</v>
      </c>
      <c r="B1730" s="704">
        <v>4362</v>
      </c>
      <c r="C1730" s="704" t="s">
        <v>579</v>
      </c>
      <c r="D1730" s="704" t="s">
        <v>533</v>
      </c>
      <c r="E1730" s="704">
        <v>1</v>
      </c>
      <c r="F1730" s="704">
        <v>100</v>
      </c>
      <c r="H1730">
        <f t="shared" si="116"/>
        <v>4362</v>
      </c>
      <c r="I1730" t="str">
        <f t="shared" si="117"/>
        <v>Rest of Qld</v>
      </c>
    </row>
    <row r="1731" spans="1:9" x14ac:dyDescent="0.2">
      <c r="A1731" s="704">
        <v>4363</v>
      </c>
      <c r="B1731" s="704">
        <v>4363</v>
      </c>
      <c r="C1731" s="704" t="s">
        <v>579</v>
      </c>
      <c r="D1731" s="704" t="s">
        <v>533</v>
      </c>
      <c r="E1731" s="704">
        <v>1</v>
      </c>
      <c r="F1731" s="704">
        <v>100</v>
      </c>
      <c r="H1731">
        <f t="shared" si="116"/>
        <v>4363</v>
      </c>
      <c r="I1731" t="str">
        <f t="shared" si="117"/>
        <v>Rest of Qld</v>
      </c>
    </row>
    <row r="1732" spans="1:9" x14ac:dyDescent="0.2">
      <c r="A1732" s="704">
        <v>4364</v>
      </c>
      <c r="B1732" s="704">
        <v>4364</v>
      </c>
      <c r="C1732" s="704" t="s">
        <v>579</v>
      </c>
      <c r="D1732" s="704" t="s">
        <v>533</v>
      </c>
      <c r="E1732" s="704">
        <v>1</v>
      </c>
      <c r="F1732" s="704">
        <v>100</v>
      </c>
      <c r="H1732">
        <f t="shared" si="116"/>
        <v>4364</v>
      </c>
      <c r="I1732" t="str">
        <f t="shared" si="117"/>
        <v>Rest of Qld</v>
      </c>
    </row>
    <row r="1733" spans="1:9" x14ac:dyDescent="0.2">
      <c r="A1733" s="704">
        <v>4365</v>
      </c>
      <c r="B1733" s="704">
        <v>4365</v>
      </c>
      <c r="C1733" s="704" t="s">
        <v>579</v>
      </c>
      <c r="D1733" s="704" t="s">
        <v>533</v>
      </c>
      <c r="E1733" s="704">
        <v>1</v>
      </c>
      <c r="F1733" s="704">
        <v>100</v>
      </c>
      <c r="H1733">
        <f t="shared" si="116"/>
        <v>4365</v>
      </c>
      <c r="I1733" t="str">
        <f t="shared" si="117"/>
        <v>Rest of Qld</v>
      </c>
    </row>
    <row r="1734" spans="1:9" x14ac:dyDescent="0.2">
      <c r="A1734" s="704">
        <v>4370</v>
      </c>
      <c r="B1734" s="704">
        <v>4370</v>
      </c>
      <c r="C1734" s="704" t="s">
        <v>579</v>
      </c>
      <c r="D1734" s="704" t="s">
        <v>533</v>
      </c>
      <c r="E1734" s="704">
        <v>1</v>
      </c>
      <c r="F1734" s="704">
        <v>100</v>
      </c>
      <c r="H1734">
        <f t="shared" si="116"/>
        <v>4370</v>
      </c>
      <c r="I1734" t="str">
        <f t="shared" si="117"/>
        <v>Rest of Qld</v>
      </c>
    </row>
    <row r="1735" spans="1:9" x14ac:dyDescent="0.2">
      <c r="A1735" s="704">
        <v>4371</v>
      </c>
      <c r="B1735" s="704">
        <v>4371</v>
      </c>
      <c r="C1735" s="704" t="s">
        <v>579</v>
      </c>
      <c r="D1735" s="704" t="s">
        <v>533</v>
      </c>
      <c r="E1735" s="704">
        <v>1</v>
      </c>
      <c r="F1735" s="704">
        <v>100</v>
      </c>
      <c r="H1735">
        <f t="shared" si="116"/>
        <v>4371</v>
      </c>
      <c r="I1735" t="str">
        <f t="shared" si="117"/>
        <v>Rest of Qld</v>
      </c>
    </row>
    <row r="1736" spans="1:9" x14ac:dyDescent="0.2">
      <c r="A1736" s="704">
        <v>4372</v>
      </c>
      <c r="B1736" s="704">
        <v>4372</v>
      </c>
      <c r="C1736" s="704" t="s">
        <v>579</v>
      </c>
      <c r="D1736" s="704" t="s">
        <v>533</v>
      </c>
      <c r="E1736" s="704">
        <v>1</v>
      </c>
      <c r="F1736" s="704">
        <v>100</v>
      </c>
      <c r="H1736">
        <f t="shared" si="116"/>
        <v>4372</v>
      </c>
      <c r="I1736" t="str">
        <f t="shared" si="117"/>
        <v>Rest of Qld</v>
      </c>
    </row>
    <row r="1737" spans="1:9" x14ac:dyDescent="0.2">
      <c r="A1737" s="704">
        <v>4373</v>
      </c>
      <c r="B1737" s="704">
        <v>4373</v>
      </c>
      <c r="C1737" s="704" t="s">
        <v>578</v>
      </c>
      <c r="D1737" s="704" t="s">
        <v>530</v>
      </c>
      <c r="E1737" s="704">
        <v>7.5129999999999999E-4</v>
      </c>
      <c r="F1737" s="704">
        <v>7.5130299999999997E-2</v>
      </c>
      <c r="H1737">
        <f t="shared" si="116"/>
        <v>4373</v>
      </c>
      <c r="I1737" t="str">
        <f t="shared" si="117"/>
        <v>Rest of NSW</v>
      </c>
    </row>
    <row r="1738" spans="1:9" x14ac:dyDescent="0.2">
      <c r="A1738" s="704">
        <v>4373</v>
      </c>
      <c r="B1738" s="704">
        <v>4373</v>
      </c>
      <c r="C1738" s="704" t="s">
        <v>579</v>
      </c>
      <c r="D1738" s="704" t="s">
        <v>533</v>
      </c>
      <c r="E1738" s="704">
        <v>0.99924900000000005</v>
      </c>
      <c r="F1738" s="704">
        <v>99.924899999999994</v>
      </c>
      <c r="H1738">
        <f t="shared" si="116"/>
        <v>4373</v>
      </c>
      <c r="I1738" t="str">
        <f t="shared" si="117"/>
        <v>Rest of Qld</v>
      </c>
    </row>
    <row r="1739" spans="1:9" x14ac:dyDescent="0.2">
      <c r="A1739" s="704">
        <v>4374</v>
      </c>
      <c r="B1739" s="704">
        <v>4374</v>
      </c>
      <c r="C1739" s="704" t="s">
        <v>579</v>
      </c>
      <c r="D1739" s="704" t="s">
        <v>533</v>
      </c>
      <c r="E1739" s="704">
        <v>1</v>
      </c>
      <c r="F1739" s="704">
        <v>100</v>
      </c>
      <c r="H1739">
        <f t="shared" si="116"/>
        <v>4374</v>
      </c>
      <c r="I1739" t="str">
        <f t="shared" si="117"/>
        <v>Rest of Qld</v>
      </c>
    </row>
    <row r="1740" spans="1:9" x14ac:dyDescent="0.2">
      <c r="A1740" s="704">
        <v>4375</v>
      </c>
      <c r="B1740" s="704">
        <v>4375</v>
      </c>
      <c r="C1740" s="704" t="s">
        <v>579</v>
      </c>
      <c r="D1740" s="704" t="s">
        <v>533</v>
      </c>
      <c r="E1740" s="704">
        <v>1</v>
      </c>
      <c r="F1740" s="704">
        <v>100</v>
      </c>
      <c r="H1740">
        <f t="shared" si="116"/>
        <v>4375</v>
      </c>
      <c r="I1740" t="str">
        <f t="shared" si="117"/>
        <v>Rest of Qld</v>
      </c>
    </row>
    <row r="1741" spans="1:9" x14ac:dyDescent="0.2">
      <c r="A1741" s="704">
        <v>4376</v>
      </c>
      <c r="B1741" s="704">
        <v>4376</v>
      </c>
      <c r="C1741" s="704" t="s">
        <v>578</v>
      </c>
      <c r="D1741" s="704" t="s">
        <v>530</v>
      </c>
      <c r="E1741" s="704">
        <v>1.06199E-2</v>
      </c>
      <c r="F1741" s="704">
        <v>1.06199</v>
      </c>
      <c r="H1741">
        <f t="shared" si="116"/>
        <v>4376</v>
      </c>
      <c r="I1741" t="str">
        <f t="shared" si="117"/>
        <v>Rest of NSW</v>
      </c>
    </row>
    <row r="1742" spans="1:9" x14ac:dyDescent="0.2">
      <c r="A1742" s="704">
        <v>4376</v>
      </c>
      <c r="B1742" s="704">
        <v>4376</v>
      </c>
      <c r="C1742" s="704" t="s">
        <v>579</v>
      </c>
      <c r="D1742" s="704" t="s">
        <v>533</v>
      </c>
      <c r="E1742" s="704">
        <v>0.98938000000000004</v>
      </c>
      <c r="F1742" s="704">
        <v>98.938000000000002</v>
      </c>
      <c r="H1742">
        <f t="shared" si="116"/>
        <v>4376</v>
      </c>
      <c r="I1742" t="str">
        <f t="shared" si="117"/>
        <v>Rest of Qld</v>
      </c>
    </row>
    <row r="1743" spans="1:9" x14ac:dyDescent="0.2">
      <c r="A1743" s="704">
        <v>4377</v>
      </c>
      <c r="B1743" s="704">
        <v>4377</v>
      </c>
      <c r="C1743" s="704" t="s">
        <v>579</v>
      </c>
      <c r="D1743" s="704" t="s">
        <v>533</v>
      </c>
      <c r="E1743" s="704">
        <v>1</v>
      </c>
      <c r="F1743" s="704">
        <v>100</v>
      </c>
      <c r="H1743">
        <f t="shared" si="116"/>
        <v>4377</v>
      </c>
      <c r="I1743" t="str">
        <f t="shared" si="117"/>
        <v>Rest of Qld</v>
      </c>
    </row>
    <row r="1744" spans="1:9" x14ac:dyDescent="0.2">
      <c r="A1744" s="704">
        <v>4378</v>
      </c>
      <c r="B1744" s="704">
        <v>4378</v>
      </c>
      <c r="C1744" s="704" t="s">
        <v>579</v>
      </c>
      <c r="D1744" s="704" t="s">
        <v>533</v>
      </c>
      <c r="E1744" s="704">
        <v>1</v>
      </c>
      <c r="F1744" s="704">
        <v>100</v>
      </c>
      <c r="H1744">
        <f t="shared" si="116"/>
        <v>4378</v>
      </c>
      <c r="I1744" t="str">
        <f t="shared" si="117"/>
        <v>Rest of Qld</v>
      </c>
    </row>
    <row r="1745" spans="1:9" x14ac:dyDescent="0.2">
      <c r="A1745" s="704">
        <v>4380</v>
      </c>
      <c r="B1745" s="704">
        <v>4380</v>
      </c>
      <c r="C1745" s="704" t="s">
        <v>578</v>
      </c>
      <c r="D1745" s="704" t="s">
        <v>530</v>
      </c>
      <c r="E1745" s="704">
        <v>3.0410000000000002E-4</v>
      </c>
      <c r="F1745" s="704">
        <v>3.04129E-2</v>
      </c>
      <c r="H1745">
        <f t="shared" si="116"/>
        <v>4380</v>
      </c>
      <c r="I1745" t="str">
        <f t="shared" si="117"/>
        <v>Rest of NSW</v>
      </c>
    </row>
    <row r="1746" spans="1:9" x14ac:dyDescent="0.2">
      <c r="A1746" s="704">
        <v>4380</v>
      </c>
      <c r="B1746" s="704">
        <v>4380</v>
      </c>
      <c r="C1746" s="704" t="s">
        <v>579</v>
      </c>
      <c r="D1746" s="704" t="s">
        <v>533</v>
      </c>
      <c r="E1746" s="704">
        <v>0.99969600000000003</v>
      </c>
      <c r="F1746" s="704">
        <v>99.9696</v>
      </c>
      <c r="H1746">
        <f t="shared" si="116"/>
        <v>4380</v>
      </c>
      <c r="I1746" t="str">
        <f t="shared" si="117"/>
        <v>Rest of Qld</v>
      </c>
    </row>
    <row r="1747" spans="1:9" x14ac:dyDescent="0.2">
      <c r="A1747" s="704">
        <v>4381</v>
      </c>
      <c r="B1747" s="704">
        <v>4381</v>
      </c>
      <c r="C1747" s="704" t="s">
        <v>579</v>
      </c>
      <c r="D1747" s="704" t="s">
        <v>533</v>
      </c>
      <c r="E1747" s="704">
        <v>1</v>
      </c>
      <c r="F1747" s="704">
        <v>100</v>
      </c>
      <c r="H1747">
        <f t="shared" si="116"/>
        <v>4381</v>
      </c>
      <c r="I1747" t="str">
        <f t="shared" si="117"/>
        <v>Rest of Qld</v>
      </c>
    </row>
    <row r="1748" spans="1:9" x14ac:dyDescent="0.2">
      <c r="A1748" s="704">
        <v>4382</v>
      </c>
      <c r="B1748" s="704">
        <v>4382</v>
      </c>
      <c r="C1748" s="704" t="s">
        <v>579</v>
      </c>
      <c r="D1748" s="704" t="s">
        <v>533</v>
      </c>
      <c r="E1748" s="704">
        <v>1</v>
      </c>
      <c r="F1748" s="704">
        <v>100</v>
      </c>
      <c r="H1748">
        <f t="shared" si="116"/>
        <v>4382</v>
      </c>
      <c r="I1748" t="str">
        <f t="shared" si="117"/>
        <v>Rest of Qld</v>
      </c>
    </row>
    <row r="1749" spans="1:9" x14ac:dyDescent="0.2">
      <c r="A1749" s="704">
        <v>4383</v>
      </c>
      <c r="B1749" s="704">
        <v>4383</v>
      </c>
      <c r="C1749" s="704" t="s">
        <v>578</v>
      </c>
      <c r="D1749" s="704" t="s">
        <v>530</v>
      </c>
      <c r="E1749" s="704">
        <v>0.26691900000000002</v>
      </c>
      <c r="F1749" s="704">
        <v>26.6919</v>
      </c>
      <c r="H1749">
        <f t="shared" si="116"/>
        <v>4383</v>
      </c>
      <c r="I1749" t="str">
        <f t="shared" si="117"/>
        <v>Rest of NSW</v>
      </c>
    </row>
    <row r="1750" spans="1:9" x14ac:dyDescent="0.2">
      <c r="A1750" s="704">
        <v>4383</v>
      </c>
      <c r="B1750" s="704">
        <v>4383</v>
      </c>
      <c r="C1750" s="704" t="s">
        <v>579</v>
      </c>
      <c r="D1750" s="704" t="s">
        <v>533</v>
      </c>
      <c r="E1750" s="704">
        <v>0.73308099999999998</v>
      </c>
      <c r="F1750" s="704">
        <v>73.308099999999996</v>
      </c>
      <c r="H1750">
        <f t="shared" si="116"/>
        <v>4383</v>
      </c>
      <c r="I1750" t="str">
        <f t="shared" si="117"/>
        <v>Rest of Qld</v>
      </c>
    </row>
    <row r="1751" spans="1:9" x14ac:dyDescent="0.2">
      <c r="A1751" s="704">
        <v>4384</v>
      </c>
      <c r="B1751" s="704">
        <v>4384</v>
      </c>
      <c r="C1751" s="704" t="s">
        <v>579</v>
      </c>
      <c r="D1751" s="704" t="s">
        <v>533</v>
      </c>
      <c r="E1751" s="704">
        <v>1</v>
      </c>
      <c r="F1751" s="704">
        <v>100</v>
      </c>
      <c r="H1751">
        <f t="shared" si="116"/>
        <v>4384</v>
      </c>
      <c r="I1751" t="str">
        <f t="shared" si="117"/>
        <v>Rest of Qld</v>
      </c>
    </row>
    <row r="1752" spans="1:9" x14ac:dyDescent="0.2">
      <c r="A1752" s="704">
        <v>4385</v>
      </c>
      <c r="B1752" s="704">
        <v>4385</v>
      </c>
      <c r="C1752" s="704" t="s">
        <v>578</v>
      </c>
      <c r="D1752" s="704" t="s">
        <v>530</v>
      </c>
      <c r="E1752" s="704">
        <v>6.66157E-2</v>
      </c>
      <c r="F1752" s="704">
        <v>6.6615700000000002</v>
      </c>
      <c r="H1752">
        <f t="shared" si="116"/>
        <v>4385</v>
      </c>
      <c r="I1752" t="str">
        <f t="shared" si="117"/>
        <v>Rest of NSW</v>
      </c>
    </row>
    <row r="1753" spans="1:9" x14ac:dyDescent="0.2">
      <c r="A1753" s="704">
        <v>4385</v>
      </c>
      <c r="B1753" s="704">
        <v>4385</v>
      </c>
      <c r="C1753" s="704" t="s">
        <v>579</v>
      </c>
      <c r="D1753" s="704" t="s">
        <v>533</v>
      </c>
      <c r="E1753" s="704">
        <v>0.93338399999999999</v>
      </c>
      <c r="F1753" s="704">
        <v>93.338399999999993</v>
      </c>
      <c r="H1753">
        <f t="shared" si="116"/>
        <v>4385</v>
      </c>
      <c r="I1753" t="str">
        <f t="shared" si="117"/>
        <v>Rest of Qld</v>
      </c>
    </row>
    <row r="1754" spans="1:9" x14ac:dyDescent="0.2">
      <c r="A1754" s="704">
        <v>4387</v>
      </c>
      <c r="B1754" s="704">
        <v>4387</v>
      </c>
      <c r="C1754" s="704" t="s">
        <v>579</v>
      </c>
      <c r="D1754" s="704" t="s">
        <v>533</v>
      </c>
      <c r="E1754" s="704">
        <v>1</v>
      </c>
      <c r="F1754" s="704">
        <v>100</v>
      </c>
      <c r="H1754">
        <f t="shared" si="116"/>
        <v>4387</v>
      </c>
      <c r="I1754" t="str">
        <f t="shared" si="117"/>
        <v>Rest of Qld</v>
      </c>
    </row>
    <row r="1755" spans="1:9" x14ac:dyDescent="0.2">
      <c r="A1755" s="704">
        <v>4388</v>
      </c>
      <c r="B1755" s="704">
        <v>4388</v>
      </c>
      <c r="C1755" s="704" t="s">
        <v>579</v>
      </c>
      <c r="D1755" s="704" t="s">
        <v>533</v>
      </c>
      <c r="E1755" s="704">
        <v>1</v>
      </c>
      <c r="F1755" s="704">
        <v>100</v>
      </c>
      <c r="H1755">
        <f t="shared" si="116"/>
        <v>4388</v>
      </c>
      <c r="I1755" t="str">
        <f t="shared" si="117"/>
        <v>Rest of Qld</v>
      </c>
    </row>
    <row r="1756" spans="1:9" x14ac:dyDescent="0.2">
      <c r="A1756" s="704">
        <v>4390</v>
      </c>
      <c r="B1756" s="704">
        <v>4390</v>
      </c>
      <c r="C1756" s="704" t="s">
        <v>578</v>
      </c>
      <c r="D1756" s="704" t="s">
        <v>530</v>
      </c>
      <c r="E1756" s="704">
        <v>4.9579999999999997E-3</v>
      </c>
      <c r="F1756" s="704">
        <v>0.49580400000000002</v>
      </c>
      <c r="H1756">
        <f t="shared" si="116"/>
        <v>4390</v>
      </c>
      <c r="I1756" t="str">
        <f t="shared" si="117"/>
        <v>Rest of NSW</v>
      </c>
    </row>
    <row r="1757" spans="1:9" x14ac:dyDescent="0.2">
      <c r="A1757" s="704">
        <v>4390</v>
      </c>
      <c r="B1757" s="704">
        <v>4390</v>
      </c>
      <c r="C1757" s="704" t="s">
        <v>579</v>
      </c>
      <c r="D1757" s="704" t="s">
        <v>533</v>
      </c>
      <c r="E1757" s="704">
        <v>0.99504199999999998</v>
      </c>
      <c r="F1757" s="704">
        <v>99.504199999999997</v>
      </c>
      <c r="H1757">
        <f t="shared" si="116"/>
        <v>4390</v>
      </c>
      <c r="I1757" t="str">
        <f t="shared" si="117"/>
        <v>Rest of Qld</v>
      </c>
    </row>
    <row r="1758" spans="1:9" x14ac:dyDescent="0.2">
      <c r="A1758" s="704">
        <v>4400</v>
      </c>
      <c r="B1758" s="704">
        <v>4400</v>
      </c>
      <c r="C1758" s="704" t="s">
        <v>579</v>
      </c>
      <c r="D1758" s="704" t="s">
        <v>533</v>
      </c>
      <c r="E1758" s="704">
        <v>1</v>
      </c>
      <c r="F1758" s="704">
        <v>100</v>
      </c>
      <c r="H1758">
        <f t="shared" si="116"/>
        <v>4400</v>
      </c>
      <c r="I1758" t="str">
        <f t="shared" si="117"/>
        <v>Rest of Qld</v>
      </c>
    </row>
    <row r="1759" spans="1:9" x14ac:dyDescent="0.2">
      <c r="A1759" s="704">
        <v>4401</v>
      </c>
      <c r="B1759" s="704">
        <v>4401</v>
      </c>
      <c r="C1759" s="704" t="s">
        <v>579</v>
      </c>
      <c r="D1759" s="704" t="s">
        <v>533</v>
      </c>
      <c r="E1759" s="704">
        <v>1</v>
      </c>
      <c r="F1759" s="704">
        <v>100</v>
      </c>
      <c r="H1759">
        <f t="shared" si="116"/>
        <v>4401</v>
      </c>
      <c r="I1759" t="str">
        <f t="shared" si="117"/>
        <v>Rest of Qld</v>
      </c>
    </row>
    <row r="1760" spans="1:9" x14ac:dyDescent="0.2">
      <c r="A1760" s="704">
        <v>4402</v>
      </c>
      <c r="B1760" s="704">
        <v>4402</v>
      </c>
      <c r="C1760" s="704" t="s">
        <v>579</v>
      </c>
      <c r="D1760" s="704" t="s">
        <v>533</v>
      </c>
      <c r="E1760" s="704">
        <v>1</v>
      </c>
      <c r="F1760" s="704">
        <v>100</v>
      </c>
      <c r="H1760">
        <f t="shared" si="116"/>
        <v>4402</v>
      </c>
      <c r="I1760" t="str">
        <f t="shared" si="117"/>
        <v>Rest of Qld</v>
      </c>
    </row>
    <row r="1761" spans="1:9" x14ac:dyDescent="0.2">
      <c r="A1761" s="704">
        <v>4403</v>
      </c>
      <c r="B1761" s="704">
        <v>4403</v>
      </c>
      <c r="C1761" s="704" t="s">
        <v>579</v>
      </c>
      <c r="D1761" s="704" t="s">
        <v>533</v>
      </c>
      <c r="E1761" s="704">
        <v>1</v>
      </c>
      <c r="F1761" s="704">
        <v>100</v>
      </c>
      <c r="H1761">
        <f t="shared" si="116"/>
        <v>4403</v>
      </c>
      <c r="I1761" t="str">
        <f t="shared" si="117"/>
        <v>Rest of Qld</v>
      </c>
    </row>
    <row r="1762" spans="1:9" x14ac:dyDescent="0.2">
      <c r="A1762" s="704">
        <v>4404</v>
      </c>
      <c r="B1762" s="704">
        <v>4404</v>
      </c>
      <c r="C1762" s="704" t="s">
        <v>579</v>
      </c>
      <c r="D1762" s="704" t="s">
        <v>533</v>
      </c>
      <c r="E1762" s="704">
        <v>1</v>
      </c>
      <c r="F1762" s="704">
        <v>100</v>
      </c>
      <c r="H1762">
        <f t="shared" si="116"/>
        <v>4404</v>
      </c>
      <c r="I1762" t="str">
        <f t="shared" si="117"/>
        <v>Rest of Qld</v>
      </c>
    </row>
    <row r="1763" spans="1:9" x14ac:dyDescent="0.2">
      <c r="A1763" s="704">
        <v>4405</v>
      </c>
      <c r="B1763" s="704">
        <v>4405</v>
      </c>
      <c r="C1763" s="704" t="s">
        <v>579</v>
      </c>
      <c r="D1763" s="704" t="s">
        <v>533</v>
      </c>
      <c r="E1763" s="704">
        <v>1</v>
      </c>
      <c r="F1763" s="704">
        <v>100</v>
      </c>
      <c r="H1763">
        <f t="shared" si="116"/>
        <v>4405</v>
      </c>
      <c r="I1763" t="str">
        <f t="shared" si="117"/>
        <v>Rest of Qld</v>
      </c>
    </row>
    <row r="1764" spans="1:9" x14ac:dyDescent="0.2">
      <c r="A1764" s="704">
        <v>4406</v>
      </c>
      <c r="B1764" s="704">
        <v>4406</v>
      </c>
      <c r="C1764" s="704" t="s">
        <v>579</v>
      </c>
      <c r="D1764" s="704" t="s">
        <v>533</v>
      </c>
      <c r="E1764" s="704">
        <v>1</v>
      </c>
      <c r="F1764" s="704">
        <v>100</v>
      </c>
      <c r="H1764">
        <f t="shared" si="116"/>
        <v>4406</v>
      </c>
      <c r="I1764" t="str">
        <f t="shared" si="117"/>
        <v>Rest of Qld</v>
      </c>
    </row>
    <row r="1765" spans="1:9" x14ac:dyDescent="0.2">
      <c r="A1765" s="704">
        <v>4407</v>
      </c>
      <c r="B1765" s="704">
        <v>4407</v>
      </c>
      <c r="C1765" s="704" t="s">
        <v>579</v>
      </c>
      <c r="D1765" s="704" t="s">
        <v>533</v>
      </c>
      <c r="E1765" s="704">
        <v>1</v>
      </c>
      <c r="F1765" s="704">
        <v>100</v>
      </c>
      <c r="H1765">
        <f t="shared" si="116"/>
        <v>4407</v>
      </c>
      <c r="I1765" t="str">
        <f t="shared" si="117"/>
        <v>Rest of Qld</v>
      </c>
    </row>
    <row r="1766" spans="1:9" x14ac:dyDescent="0.2">
      <c r="A1766" s="704">
        <v>4408</v>
      </c>
      <c r="B1766" s="704">
        <v>4408</v>
      </c>
      <c r="C1766" s="704" t="s">
        <v>579</v>
      </c>
      <c r="D1766" s="704" t="s">
        <v>533</v>
      </c>
      <c r="E1766" s="704">
        <v>1</v>
      </c>
      <c r="F1766" s="704">
        <v>100</v>
      </c>
      <c r="H1766">
        <f t="shared" si="116"/>
        <v>4408</v>
      </c>
      <c r="I1766" t="str">
        <f t="shared" si="117"/>
        <v>Rest of Qld</v>
      </c>
    </row>
    <row r="1767" spans="1:9" x14ac:dyDescent="0.2">
      <c r="A1767" s="704">
        <v>4410</v>
      </c>
      <c r="B1767" s="704">
        <v>4410</v>
      </c>
      <c r="C1767" s="704" t="s">
        <v>579</v>
      </c>
      <c r="D1767" s="704" t="s">
        <v>533</v>
      </c>
      <c r="E1767" s="704">
        <v>1</v>
      </c>
      <c r="F1767" s="704">
        <v>100</v>
      </c>
      <c r="H1767">
        <f t="shared" si="116"/>
        <v>4410</v>
      </c>
      <c r="I1767" t="str">
        <f t="shared" si="117"/>
        <v>Rest of Qld</v>
      </c>
    </row>
    <row r="1768" spans="1:9" x14ac:dyDescent="0.2">
      <c r="A1768" s="704">
        <v>4411</v>
      </c>
      <c r="B1768" s="704">
        <v>4411</v>
      </c>
      <c r="C1768" s="704" t="s">
        <v>579</v>
      </c>
      <c r="D1768" s="704" t="s">
        <v>533</v>
      </c>
      <c r="E1768" s="704">
        <v>1</v>
      </c>
      <c r="F1768" s="704">
        <v>100</v>
      </c>
      <c r="H1768">
        <f t="shared" si="116"/>
        <v>4411</v>
      </c>
      <c r="I1768" t="str">
        <f t="shared" si="117"/>
        <v>Rest of Qld</v>
      </c>
    </row>
    <row r="1769" spans="1:9" x14ac:dyDescent="0.2">
      <c r="A1769" s="704">
        <v>4412</v>
      </c>
      <c r="B1769" s="704">
        <v>4412</v>
      </c>
      <c r="C1769" s="704" t="s">
        <v>579</v>
      </c>
      <c r="D1769" s="704" t="s">
        <v>533</v>
      </c>
      <c r="E1769" s="704">
        <v>1</v>
      </c>
      <c r="F1769" s="704">
        <v>100</v>
      </c>
      <c r="H1769">
        <f t="shared" si="116"/>
        <v>4412</v>
      </c>
      <c r="I1769" t="str">
        <f t="shared" si="117"/>
        <v>Rest of Qld</v>
      </c>
    </row>
    <row r="1770" spans="1:9" x14ac:dyDescent="0.2">
      <c r="A1770" s="704">
        <v>4413</v>
      </c>
      <c r="B1770" s="704">
        <v>4413</v>
      </c>
      <c r="C1770" s="704" t="s">
        <v>579</v>
      </c>
      <c r="D1770" s="704" t="s">
        <v>533</v>
      </c>
      <c r="E1770" s="704">
        <v>1</v>
      </c>
      <c r="F1770" s="704">
        <v>100</v>
      </c>
      <c r="H1770">
        <f t="shared" si="116"/>
        <v>4413</v>
      </c>
      <c r="I1770" t="str">
        <f t="shared" si="117"/>
        <v>Rest of Qld</v>
      </c>
    </row>
    <row r="1771" spans="1:9" x14ac:dyDescent="0.2">
      <c r="A1771" s="704">
        <v>4415</v>
      </c>
      <c r="B1771" s="704">
        <v>4415</v>
      </c>
      <c r="C1771" s="704" t="s">
        <v>579</v>
      </c>
      <c r="D1771" s="704" t="s">
        <v>533</v>
      </c>
      <c r="E1771" s="704">
        <v>1</v>
      </c>
      <c r="F1771" s="704">
        <v>100</v>
      </c>
      <c r="H1771">
        <f t="shared" si="116"/>
        <v>4415</v>
      </c>
      <c r="I1771" t="str">
        <f t="shared" si="117"/>
        <v>Rest of Qld</v>
      </c>
    </row>
    <row r="1772" spans="1:9" x14ac:dyDescent="0.2">
      <c r="A1772" s="704">
        <v>4416</v>
      </c>
      <c r="B1772" s="704">
        <v>4416</v>
      </c>
      <c r="C1772" s="704" t="s">
        <v>579</v>
      </c>
      <c r="D1772" s="704" t="s">
        <v>533</v>
      </c>
      <c r="E1772" s="704">
        <v>1</v>
      </c>
      <c r="F1772" s="704">
        <v>100</v>
      </c>
      <c r="H1772">
        <f t="shared" si="116"/>
        <v>4416</v>
      </c>
      <c r="I1772" t="str">
        <f t="shared" si="117"/>
        <v>Rest of Qld</v>
      </c>
    </row>
    <row r="1773" spans="1:9" x14ac:dyDescent="0.2">
      <c r="A1773" s="704">
        <v>4417</v>
      </c>
      <c r="B1773" s="704">
        <v>4417</v>
      </c>
      <c r="C1773" s="704" t="s">
        <v>579</v>
      </c>
      <c r="D1773" s="704" t="s">
        <v>533</v>
      </c>
      <c r="E1773" s="704">
        <v>1</v>
      </c>
      <c r="F1773" s="704">
        <v>100</v>
      </c>
      <c r="H1773">
        <f t="shared" si="116"/>
        <v>4417</v>
      </c>
      <c r="I1773" t="str">
        <f t="shared" si="117"/>
        <v>Rest of Qld</v>
      </c>
    </row>
    <row r="1774" spans="1:9" x14ac:dyDescent="0.2">
      <c r="A1774" s="704">
        <v>4418</v>
      </c>
      <c r="B1774" s="704">
        <v>4418</v>
      </c>
      <c r="C1774" s="704" t="s">
        <v>579</v>
      </c>
      <c r="D1774" s="704" t="s">
        <v>533</v>
      </c>
      <c r="E1774" s="704">
        <v>1</v>
      </c>
      <c r="F1774" s="704">
        <v>100</v>
      </c>
      <c r="H1774">
        <f t="shared" si="116"/>
        <v>4418</v>
      </c>
      <c r="I1774" t="str">
        <f t="shared" si="117"/>
        <v>Rest of Qld</v>
      </c>
    </row>
    <row r="1775" spans="1:9" x14ac:dyDescent="0.2">
      <c r="A1775" s="704">
        <v>4419</v>
      </c>
      <c r="B1775" s="704">
        <v>4419</v>
      </c>
      <c r="C1775" s="704" t="s">
        <v>579</v>
      </c>
      <c r="D1775" s="704" t="s">
        <v>533</v>
      </c>
      <c r="E1775" s="704">
        <v>1</v>
      </c>
      <c r="F1775" s="704">
        <v>100</v>
      </c>
      <c r="H1775">
        <f t="shared" si="116"/>
        <v>4419</v>
      </c>
      <c r="I1775" t="str">
        <f t="shared" si="117"/>
        <v>Rest of Qld</v>
      </c>
    </row>
    <row r="1776" spans="1:9" x14ac:dyDescent="0.2">
      <c r="A1776" s="704">
        <v>4420</v>
      </c>
      <c r="B1776" s="704">
        <v>4420</v>
      </c>
      <c r="C1776" s="704" t="s">
        <v>579</v>
      </c>
      <c r="D1776" s="704" t="s">
        <v>533</v>
      </c>
      <c r="E1776" s="704">
        <v>1</v>
      </c>
      <c r="F1776" s="704">
        <v>100</v>
      </c>
      <c r="H1776">
        <f t="shared" si="116"/>
        <v>4420</v>
      </c>
      <c r="I1776" t="str">
        <f t="shared" si="117"/>
        <v>Rest of Qld</v>
      </c>
    </row>
    <row r="1777" spans="1:9" x14ac:dyDescent="0.2">
      <c r="A1777" s="704">
        <v>4421</v>
      </c>
      <c r="B1777" s="704">
        <v>4421</v>
      </c>
      <c r="C1777" s="704" t="s">
        <v>579</v>
      </c>
      <c r="D1777" s="704" t="s">
        <v>533</v>
      </c>
      <c r="E1777" s="704">
        <v>1</v>
      </c>
      <c r="F1777" s="704">
        <v>100</v>
      </c>
      <c r="H1777">
        <f t="shared" si="116"/>
        <v>4421</v>
      </c>
      <c r="I1777" t="str">
        <f t="shared" si="117"/>
        <v>Rest of Qld</v>
      </c>
    </row>
    <row r="1778" spans="1:9" x14ac:dyDescent="0.2">
      <c r="A1778" s="704">
        <v>4422</v>
      </c>
      <c r="B1778" s="704">
        <v>4422</v>
      </c>
      <c r="C1778" s="704" t="s">
        <v>579</v>
      </c>
      <c r="D1778" s="704" t="s">
        <v>533</v>
      </c>
      <c r="E1778" s="704">
        <v>1</v>
      </c>
      <c r="F1778" s="704">
        <v>100</v>
      </c>
      <c r="H1778">
        <f t="shared" si="116"/>
        <v>4422</v>
      </c>
      <c r="I1778" t="str">
        <f t="shared" si="117"/>
        <v>Rest of Qld</v>
      </c>
    </row>
    <row r="1779" spans="1:9" x14ac:dyDescent="0.2">
      <c r="A1779" s="704">
        <v>4423</v>
      </c>
      <c r="B1779" s="704">
        <v>4423</v>
      </c>
      <c r="C1779" s="704" t="s">
        <v>579</v>
      </c>
      <c r="D1779" s="704" t="s">
        <v>533</v>
      </c>
      <c r="E1779" s="704">
        <v>1</v>
      </c>
      <c r="F1779" s="704">
        <v>100</v>
      </c>
      <c r="H1779">
        <f t="shared" si="116"/>
        <v>4423</v>
      </c>
      <c r="I1779" t="str">
        <f t="shared" si="117"/>
        <v>Rest of Qld</v>
      </c>
    </row>
    <row r="1780" spans="1:9" x14ac:dyDescent="0.2">
      <c r="A1780" s="704">
        <v>4424</v>
      </c>
      <c r="B1780" s="704">
        <v>4424</v>
      </c>
      <c r="C1780" s="704" t="s">
        <v>579</v>
      </c>
      <c r="D1780" s="704" t="s">
        <v>533</v>
      </c>
      <c r="E1780" s="704">
        <v>1</v>
      </c>
      <c r="F1780" s="704">
        <v>100</v>
      </c>
      <c r="H1780">
        <f t="shared" si="116"/>
        <v>4424</v>
      </c>
      <c r="I1780" t="str">
        <f t="shared" si="117"/>
        <v>Rest of Qld</v>
      </c>
    </row>
    <row r="1781" spans="1:9" x14ac:dyDescent="0.2">
      <c r="A1781" s="704">
        <v>4425</v>
      </c>
      <c r="B1781" s="704">
        <v>4425</v>
      </c>
      <c r="C1781" s="704" t="s">
        <v>579</v>
      </c>
      <c r="D1781" s="704" t="s">
        <v>533</v>
      </c>
      <c r="E1781" s="704">
        <v>1</v>
      </c>
      <c r="F1781" s="704">
        <v>100</v>
      </c>
      <c r="H1781">
        <f t="shared" si="116"/>
        <v>4425</v>
      </c>
      <c r="I1781" t="str">
        <f t="shared" si="117"/>
        <v>Rest of Qld</v>
      </c>
    </row>
    <row r="1782" spans="1:9" x14ac:dyDescent="0.2">
      <c r="A1782" s="704">
        <v>4426</v>
      </c>
      <c r="B1782" s="704">
        <v>4426</v>
      </c>
      <c r="C1782" s="704" t="s">
        <v>579</v>
      </c>
      <c r="D1782" s="704" t="s">
        <v>533</v>
      </c>
      <c r="E1782" s="704">
        <v>1</v>
      </c>
      <c r="F1782" s="704">
        <v>100</v>
      </c>
      <c r="H1782">
        <f t="shared" si="116"/>
        <v>4426</v>
      </c>
      <c r="I1782" t="str">
        <f t="shared" si="117"/>
        <v>Rest of Qld</v>
      </c>
    </row>
    <row r="1783" spans="1:9" x14ac:dyDescent="0.2">
      <c r="A1783" s="704">
        <v>4427</v>
      </c>
      <c r="B1783" s="704">
        <v>4427</v>
      </c>
      <c r="C1783" s="704" t="s">
        <v>579</v>
      </c>
      <c r="D1783" s="704" t="s">
        <v>533</v>
      </c>
      <c r="E1783" s="704">
        <v>1</v>
      </c>
      <c r="F1783" s="704">
        <v>100</v>
      </c>
      <c r="H1783">
        <f t="shared" si="116"/>
        <v>4427</v>
      </c>
      <c r="I1783" t="str">
        <f t="shared" si="117"/>
        <v>Rest of Qld</v>
      </c>
    </row>
    <row r="1784" spans="1:9" x14ac:dyDescent="0.2">
      <c r="A1784" s="704">
        <v>4428</v>
      </c>
      <c r="B1784" s="704">
        <v>4428</v>
      </c>
      <c r="C1784" s="704" t="s">
        <v>579</v>
      </c>
      <c r="D1784" s="704" t="s">
        <v>533</v>
      </c>
      <c r="E1784" s="704">
        <v>1</v>
      </c>
      <c r="F1784" s="704">
        <v>100</v>
      </c>
      <c r="H1784">
        <f t="shared" si="116"/>
        <v>4428</v>
      </c>
      <c r="I1784" t="str">
        <f t="shared" si="117"/>
        <v>Rest of Qld</v>
      </c>
    </row>
    <row r="1785" spans="1:9" x14ac:dyDescent="0.2">
      <c r="A1785" s="704">
        <v>4454</v>
      </c>
      <c r="B1785" s="704">
        <v>4454</v>
      </c>
      <c r="C1785" s="704" t="s">
        <v>579</v>
      </c>
      <c r="D1785" s="704" t="s">
        <v>533</v>
      </c>
      <c r="E1785" s="704">
        <v>1</v>
      </c>
      <c r="F1785" s="704">
        <v>100</v>
      </c>
      <c r="H1785">
        <f t="shared" ref="H1785:H1848" si="118">A1785*1</f>
        <v>4454</v>
      </c>
      <c r="I1785" t="str">
        <f t="shared" ref="I1785:I1848" si="119">D1785</f>
        <v>Rest of Qld</v>
      </c>
    </row>
    <row r="1786" spans="1:9" x14ac:dyDescent="0.2">
      <c r="A1786" s="704">
        <v>4455</v>
      </c>
      <c r="B1786" s="704">
        <v>4455</v>
      </c>
      <c r="C1786" s="704" t="s">
        <v>579</v>
      </c>
      <c r="D1786" s="704" t="s">
        <v>533</v>
      </c>
      <c r="E1786" s="704">
        <v>1</v>
      </c>
      <c r="F1786" s="704">
        <v>100</v>
      </c>
      <c r="H1786">
        <f t="shared" si="118"/>
        <v>4455</v>
      </c>
      <c r="I1786" t="str">
        <f t="shared" si="119"/>
        <v>Rest of Qld</v>
      </c>
    </row>
    <row r="1787" spans="1:9" x14ac:dyDescent="0.2">
      <c r="A1787" s="704">
        <v>4461</v>
      </c>
      <c r="B1787" s="704">
        <v>4461</v>
      </c>
      <c r="C1787" s="704" t="s">
        <v>579</v>
      </c>
      <c r="D1787" s="704" t="s">
        <v>533</v>
      </c>
      <c r="E1787" s="704">
        <v>1</v>
      </c>
      <c r="F1787" s="704">
        <v>100</v>
      </c>
      <c r="H1787">
        <f t="shared" si="118"/>
        <v>4461</v>
      </c>
      <c r="I1787" t="str">
        <f t="shared" si="119"/>
        <v>Rest of Qld</v>
      </c>
    </row>
    <row r="1788" spans="1:9" x14ac:dyDescent="0.2">
      <c r="A1788" s="704">
        <v>4462</v>
      </c>
      <c r="B1788" s="704">
        <v>4462</v>
      </c>
      <c r="C1788" s="704" t="s">
        <v>579</v>
      </c>
      <c r="D1788" s="704" t="s">
        <v>533</v>
      </c>
      <c r="E1788" s="704">
        <v>1</v>
      </c>
      <c r="F1788" s="704">
        <v>100</v>
      </c>
      <c r="H1788">
        <f t="shared" si="118"/>
        <v>4462</v>
      </c>
      <c r="I1788" t="str">
        <f t="shared" si="119"/>
        <v>Rest of Qld</v>
      </c>
    </row>
    <row r="1789" spans="1:9" x14ac:dyDescent="0.2">
      <c r="A1789" s="704">
        <v>4465</v>
      </c>
      <c r="B1789" s="704">
        <v>4465</v>
      </c>
      <c r="C1789" s="704" t="s">
        <v>579</v>
      </c>
      <c r="D1789" s="704" t="s">
        <v>533</v>
      </c>
      <c r="E1789" s="704">
        <v>1</v>
      </c>
      <c r="F1789" s="704">
        <v>100</v>
      </c>
      <c r="H1789">
        <f t="shared" si="118"/>
        <v>4465</v>
      </c>
      <c r="I1789" t="str">
        <f t="shared" si="119"/>
        <v>Rest of Qld</v>
      </c>
    </row>
    <row r="1790" spans="1:9" x14ac:dyDescent="0.2">
      <c r="A1790" s="704">
        <v>4467</v>
      </c>
      <c r="B1790" s="704">
        <v>4467</v>
      </c>
      <c r="C1790" s="704" t="s">
        <v>579</v>
      </c>
      <c r="D1790" s="704" t="s">
        <v>533</v>
      </c>
      <c r="E1790" s="704">
        <v>1</v>
      </c>
      <c r="F1790" s="704">
        <v>100</v>
      </c>
      <c r="H1790">
        <f t="shared" si="118"/>
        <v>4467</v>
      </c>
      <c r="I1790" t="str">
        <f t="shared" si="119"/>
        <v>Rest of Qld</v>
      </c>
    </row>
    <row r="1791" spans="1:9" x14ac:dyDescent="0.2">
      <c r="A1791" s="704">
        <v>4468</v>
      </c>
      <c r="B1791" s="704">
        <v>4468</v>
      </c>
      <c r="C1791" s="704" t="s">
        <v>579</v>
      </c>
      <c r="D1791" s="704" t="s">
        <v>533</v>
      </c>
      <c r="E1791" s="704">
        <v>1</v>
      </c>
      <c r="F1791" s="704">
        <v>100</v>
      </c>
      <c r="H1791">
        <f t="shared" si="118"/>
        <v>4468</v>
      </c>
      <c r="I1791" t="str">
        <f t="shared" si="119"/>
        <v>Rest of Qld</v>
      </c>
    </row>
    <row r="1792" spans="1:9" x14ac:dyDescent="0.2">
      <c r="A1792" s="704">
        <v>4470</v>
      </c>
      <c r="B1792" s="704">
        <v>4470</v>
      </c>
      <c r="C1792" s="704" t="s">
        <v>579</v>
      </c>
      <c r="D1792" s="704" t="s">
        <v>533</v>
      </c>
      <c r="E1792" s="704">
        <v>1</v>
      </c>
      <c r="F1792" s="704">
        <v>100</v>
      </c>
      <c r="H1792">
        <f t="shared" si="118"/>
        <v>4470</v>
      </c>
      <c r="I1792" t="str">
        <f t="shared" si="119"/>
        <v>Rest of Qld</v>
      </c>
    </row>
    <row r="1793" spans="1:9" x14ac:dyDescent="0.2">
      <c r="A1793" s="704">
        <v>4471</v>
      </c>
      <c r="B1793" s="704">
        <v>4471</v>
      </c>
      <c r="C1793" s="704" t="s">
        <v>579</v>
      </c>
      <c r="D1793" s="704" t="s">
        <v>533</v>
      </c>
      <c r="E1793" s="704">
        <v>1</v>
      </c>
      <c r="F1793" s="704">
        <v>100</v>
      </c>
      <c r="H1793">
        <f t="shared" si="118"/>
        <v>4471</v>
      </c>
      <c r="I1793" t="str">
        <f t="shared" si="119"/>
        <v>Rest of Qld</v>
      </c>
    </row>
    <row r="1794" spans="1:9" x14ac:dyDescent="0.2">
      <c r="A1794" s="704">
        <v>4472</v>
      </c>
      <c r="B1794" s="704">
        <v>4472</v>
      </c>
      <c r="C1794" s="704" t="s">
        <v>579</v>
      </c>
      <c r="D1794" s="704" t="s">
        <v>533</v>
      </c>
      <c r="E1794" s="704">
        <v>1</v>
      </c>
      <c r="F1794" s="704">
        <v>100</v>
      </c>
      <c r="H1794">
        <f t="shared" si="118"/>
        <v>4472</v>
      </c>
      <c r="I1794" t="str">
        <f t="shared" si="119"/>
        <v>Rest of Qld</v>
      </c>
    </row>
    <row r="1795" spans="1:9" x14ac:dyDescent="0.2">
      <c r="A1795" s="704">
        <v>4474</v>
      </c>
      <c r="B1795" s="704">
        <v>4474</v>
      </c>
      <c r="C1795" s="704" t="s">
        <v>579</v>
      </c>
      <c r="D1795" s="704" t="s">
        <v>533</v>
      </c>
      <c r="E1795" s="704">
        <v>1</v>
      </c>
      <c r="F1795" s="704">
        <v>100</v>
      </c>
      <c r="H1795">
        <f t="shared" si="118"/>
        <v>4474</v>
      </c>
      <c r="I1795" t="str">
        <f t="shared" si="119"/>
        <v>Rest of Qld</v>
      </c>
    </row>
    <row r="1796" spans="1:9" x14ac:dyDescent="0.2">
      <c r="A1796" s="704">
        <v>4475</v>
      </c>
      <c r="B1796" s="704">
        <v>4475</v>
      </c>
      <c r="C1796" s="704" t="s">
        <v>579</v>
      </c>
      <c r="D1796" s="704" t="s">
        <v>533</v>
      </c>
      <c r="E1796" s="704">
        <v>1</v>
      </c>
      <c r="F1796" s="704">
        <v>100</v>
      </c>
      <c r="H1796">
        <f t="shared" si="118"/>
        <v>4475</v>
      </c>
      <c r="I1796" t="str">
        <f t="shared" si="119"/>
        <v>Rest of Qld</v>
      </c>
    </row>
    <row r="1797" spans="1:9" x14ac:dyDescent="0.2">
      <c r="A1797" s="704">
        <v>4477</v>
      </c>
      <c r="B1797" s="704">
        <v>4477</v>
      </c>
      <c r="C1797" s="704" t="s">
        <v>579</v>
      </c>
      <c r="D1797" s="704" t="s">
        <v>533</v>
      </c>
      <c r="E1797" s="704">
        <v>1</v>
      </c>
      <c r="F1797" s="704">
        <v>100</v>
      </c>
      <c r="H1797">
        <f t="shared" si="118"/>
        <v>4477</v>
      </c>
      <c r="I1797" t="str">
        <f t="shared" si="119"/>
        <v>Rest of Qld</v>
      </c>
    </row>
    <row r="1798" spans="1:9" x14ac:dyDescent="0.2">
      <c r="A1798" s="704">
        <v>4478</v>
      </c>
      <c r="B1798" s="704">
        <v>4478</v>
      </c>
      <c r="C1798" s="704" t="s">
        <v>579</v>
      </c>
      <c r="D1798" s="704" t="s">
        <v>533</v>
      </c>
      <c r="E1798" s="704">
        <v>1</v>
      </c>
      <c r="F1798" s="704">
        <v>100</v>
      </c>
      <c r="H1798">
        <f t="shared" si="118"/>
        <v>4478</v>
      </c>
      <c r="I1798" t="str">
        <f t="shared" si="119"/>
        <v>Rest of Qld</v>
      </c>
    </row>
    <row r="1799" spans="1:9" x14ac:dyDescent="0.2">
      <c r="A1799" s="704">
        <v>4479</v>
      </c>
      <c r="B1799" s="704">
        <v>4479</v>
      </c>
      <c r="C1799" s="704" t="s">
        <v>579</v>
      </c>
      <c r="D1799" s="704" t="s">
        <v>533</v>
      </c>
      <c r="E1799" s="704">
        <v>1</v>
      </c>
      <c r="F1799" s="704">
        <v>100</v>
      </c>
      <c r="H1799">
        <f t="shared" si="118"/>
        <v>4479</v>
      </c>
      <c r="I1799" t="str">
        <f t="shared" si="119"/>
        <v>Rest of Qld</v>
      </c>
    </row>
    <row r="1800" spans="1:9" x14ac:dyDescent="0.2">
      <c r="A1800" s="704">
        <v>4480</v>
      </c>
      <c r="B1800" s="704">
        <v>4480</v>
      </c>
      <c r="C1800" s="704" t="s">
        <v>579</v>
      </c>
      <c r="D1800" s="704" t="s">
        <v>533</v>
      </c>
      <c r="E1800" s="704">
        <v>1</v>
      </c>
      <c r="F1800" s="704">
        <v>100</v>
      </c>
      <c r="H1800">
        <f t="shared" si="118"/>
        <v>4480</v>
      </c>
      <c r="I1800" t="str">
        <f t="shared" si="119"/>
        <v>Rest of Qld</v>
      </c>
    </row>
    <row r="1801" spans="1:9" x14ac:dyDescent="0.2">
      <c r="A1801" s="704">
        <v>4481</v>
      </c>
      <c r="B1801" s="704">
        <v>4481</v>
      </c>
      <c r="C1801" s="704" t="s">
        <v>579</v>
      </c>
      <c r="D1801" s="704" t="s">
        <v>533</v>
      </c>
      <c r="E1801" s="704">
        <v>1</v>
      </c>
      <c r="F1801" s="704">
        <v>100</v>
      </c>
      <c r="H1801">
        <f t="shared" si="118"/>
        <v>4481</v>
      </c>
      <c r="I1801" t="str">
        <f t="shared" si="119"/>
        <v>Rest of Qld</v>
      </c>
    </row>
    <row r="1802" spans="1:9" x14ac:dyDescent="0.2">
      <c r="A1802" s="704">
        <v>4482</v>
      </c>
      <c r="B1802" s="704">
        <v>4482</v>
      </c>
      <c r="C1802" s="704" t="s">
        <v>579</v>
      </c>
      <c r="D1802" s="704" t="s">
        <v>533</v>
      </c>
      <c r="E1802" s="704">
        <v>1</v>
      </c>
      <c r="F1802" s="704">
        <v>100</v>
      </c>
      <c r="H1802">
        <f t="shared" si="118"/>
        <v>4482</v>
      </c>
      <c r="I1802" t="str">
        <f t="shared" si="119"/>
        <v>Rest of Qld</v>
      </c>
    </row>
    <row r="1803" spans="1:9" x14ac:dyDescent="0.2">
      <c r="A1803" s="704">
        <v>4486</v>
      </c>
      <c r="B1803" s="704">
        <v>4486</v>
      </c>
      <c r="C1803" s="704" t="s">
        <v>579</v>
      </c>
      <c r="D1803" s="704" t="s">
        <v>533</v>
      </c>
      <c r="E1803" s="704">
        <v>1</v>
      </c>
      <c r="F1803" s="704">
        <v>100</v>
      </c>
      <c r="H1803">
        <f t="shared" si="118"/>
        <v>4486</v>
      </c>
      <c r="I1803" t="str">
        <f t="shared" si="119"/>
        <v>Rest of Qld</v>
      </c>
    </row>
    <row r="1804" spans="1:9" x14ac:dyDescent="0.2">
      <c r="A1804" s="704">
        <v>4487</v>
      </c>
      <c r="B1804" s="704">
        <v>4487</v>
      </c>
      <c r="C1804" s="704" t="s">
        <v>579</v>
      </c>
      <c r="D1804" s="704" t="s">
        <v>533</v>
      </c>
      <c r="E1804" s="704">
        <v>1</v>
      </c>
      <c r="F1804" s="704">
        <v>100</v>
      </c>
      <c r="H1804">
        <f t="shared" si="118"/>
        <v>4487</v>
      </c>
      <c r="I1804" t="str">
        <f t="shared" si="119"/>
        <v>Rest of Qld</v>
      </c>
    </row>
    <row r="1805" spans="1:9" x14ac:dyDescent="0.2">
      <c r="A1805" s="704">
        <v>4488</v>
      </c>
      <c r="B1805" s="704">
        <v>4488</v>
      </c>
      <c r="C1805" s="704" t="s">
        <v>579</v>
      </c>
      <c r="D1805" s="704" t="s">
        <v>533</v>
      </c>
      <c r="E1805" s="704">
        <v>1</v>
      </c>
      <c r="F1805" s="704">
        <v>100</v>
      </c>
      <c r="H1805">
        <f t="shared" si="118"/>
        <v>4488</v>
      </c>
      <c r="I1805" t="str">
        <f t="shared" si="119"/>
        <v>Rest of Qld</v>
      </c>
    </row>
    <row r="1806" spans="1:9" x14ac:dyDescent="0.2">
      <c r="A1806" s="704">
        <v>4489</v>
      </c>
      <c r="B1806" s="704">
        <v>4489</v>
      </c>
      <c r="C1806" s="704" t="s">
        <v>579</v>
      </c>
      <c r="D1806" s="704" t="s">
        <v>533</v>
      </c>
      <c r="E1806" s="704">
        <v>1</v>
      </c>
      <c r="F1806" s="704">
        <v>100</v>
      </c>
      <c r="H1806">
        <f t="shared" si="118"/>
        <v>4489</v>
      </c>
      <c r="I1806" t="str">
        <f t="shared" si="119"/>
        <v>Rest of Qld</v>
      </c>
    </row>
    <row r="1807" spans="1:9" x14ac:dyDescent="0.2">
      <c r="A1807" s="704">
        <v>4490</v>
      </c>
      <c r="B1807" s="704">
        <v>4490</v>
      </c>
      <c r="C1807" s="704" t="s">
        <v>579</v>
      </c>
      <c r="D1807" s="704" t="s">
        <v>533</v>
      </c>
      <c r="E1807" s="704">
        <v>1</v>
      </c>
      <c r="F1807" s="704">
        <v>100</v>
      </c>
      <c r="H1807">
        <f t="shared" si="118"/>
        <v>4490</v>
      </c>
      <c r="I1807" t="str">
        <f t="shared" si="119"/>
        <v>Rest of Qld</v>
      </c>
    </row>
    <row r="1808" spans="1:9" x14ac:dyDescent="0.2">
      <c r="A1808" s="704">
        <v>4491</v>
      </c>
      <c r="B1808" s="704">
        <v>4491</v>
      </c>
      <c r="C1808" s="704" t="s">
        <v>579</v>
      </c>
      <c r="D1808" s="704" t="s">
        <v>533</v>
      </c>
      <c r="E1808" s="704">
        <v>1</v>
      </c>
      <c r="F1808" s="704">
        <v>100</v>
      </c>
      <c r="H1808">
        <f t="shared" si="118"/>
        <v>4491</v>
      </c>
      <c r="I1808" t="str">
        <f t="shared" si="119"/>
        <v>Rest of Qld</v>
      </c>
    </row>
    <row r="1809" spans="1:9" x14ac:dyDescent="0.2">
      <c r="A1809" s="704">
        <v>4492</v>
      </c>
      <c r="B1809" s="704">
        <v>4492</v>
      </c>
      <c r="C1809" s="704" t="s">
        <v>579</v>
      </c>
      <c r="D1809" s="704" t="s">
        <v>533</v>
      </c>
      <c r="E1809" s="704">
        <v>1</v>
      </c>
      <c r="F1809" s="704">
        <v>100</v>
      </c>
      <c r="H1809">
        <f t="shared" si="118"/>
        <v>4492</v>
      </c>
      <c r="I1809" t="str">
        <f t="shared" si="119"/>
        <v>Rest of Qld</v>
      </c>
    </row>
    <row r="1810" spans="1:9" x14ac:dyDescent="0.2">
      <c r="A1810" s="704">
        <v>4493</v>
      </c>
      <c r="B1810" s="704">
        <v>4493</v>
      </c>
      <c r="C1810" s="704" t="s">
        <v>578</v>
      </c>
      <c r="D1810" s="704" t="s">
        <v>530</v>
      </c>
      <c r="E1810" s="704">
        <v>0.266656</v>
      </c>
      <c r="F1810" s="704">
        <v>26.665600000000001</v>
      </c>
      <c r="H1810">
        <f t="shared" si="118"/>
        <v>4493</v>
      </c>
      <c r="I1810" t="str">
        <f t="shared" si="119"/>
        <v>Rest of NSW</v>
      </c>
    </row>
    <row r="1811" spans="1:9" x14ac:dyDescent="0.2">
      <c r="A1811" s="704">
        <v>4493</v>
      </c>
      <c r="B1811" s="704">
        <v>4493</v>
      </c>
      <c r="C1811" s="704" t="s">
        <v>579</v>
      </c>
      <c r="D1811" s="704" t="s">
        <v>533</v>
      </c>
      <c r="E1811" s="704">
        <v>0.733344</v>
      </c>
      <c r="F1811" s="704">
        <v>73.334400000000002</v>
      </c>
      <c r="H1811">
        <f t="shared" si="118"/>
        <v>4493</v>
      </c>
      <c r="I1811" t="str">
        <f t="shared" si="119"/>
        <v>Rest of Qld</v>
      </c>
    </row>
    <row r="1812" spans="1:9" x14ac:dyDescent="0.2">
      <c r="A1812" s="704">
        <v>4494</v>
      </c>
      <c r="B1812" s="704">
        <v>4494</v>
      </c>
      <c r="C1812" s="704" t="s">
        <v>579</v>
      </c>
      <c r="D1812" s="704" t="s">
        <v>533</v>
      </c>
      <c r="E1812" s="704">
        <v>1</v>
      </c>
      <c r="F1812" s="704">
        <v>100</v>
      </c>
      <c r="H1812">
        <f t="shared" si="118"/>
        <v>4494</v>
      </c>
      <c r="I1812" t="str">
        <f t="shared" si="119"/>
        <v>Rest of Qld</v>
      </c>
    </row>
    <row r="1813" spans="1:9" x14ac:dyDescent="0.2">
      <c r="A1813" s="704">
        <v>4496</v>
      </c>
      <c r="B1813" s="704">
        <v>4496</v>
      </c>
      <c r="C1813" s="704" t="s">
        <v>579</v>
      </c>
      <c r="D1813" s="704" t="s">
        <v>533</v>
      </c>
      <c r="E1813" s="704">
        <v>1</v>
      </c>
      <c r="F1813" s="704">
        <v>100</v>
      </c>
      <c r="H1813">
        <f t="shared" si="118"/>
        <v>4496</v>
      </c>
      <c r="I1813" t="str">
        <f t="shared" si="119"/>
        <v>Rest of Qld</v>
      </c>
    </row>
    <row r="1814" spans="1:9" x14ac:dyDescent="0.2">
      <c r="A1814" s="704">
        <v>4497</v>
      </c>
      <c r="B1814" s="704">
        <v>4497</v>
      </c>
      <c r="C1814" s="704" t="s">
        <v>579</v>
      </c>
      <c r="D1814" s="704" t="s">
        <v>533</v>
      </c>
      <c r="E1814" s="704">
        <v>1</v>
      </c>
      <c r="F1814" s="704">
        <v>100</v>
      </c>
      <c r="H1814">
        <f t="shared" si="118"/>
        <v>4497</v>
      </c>
      <c r="I1814" t="str">
        <f t="shared" si="119"/>
        <v>Rest of Qld</v>
      </c>
    </row>
    <row r="1815" spans="1:9" x14ac:dyDescent="0.2">
      <c r="A1815" s="704">
        <v>4498</v>
      </c>
      <c r="B1815" s="704">
        <v>4498</v>
      </c>
      <c r="C1815" s="704" t="s">
        <v>579</v>
      </c>
      <c r="D1815" s="704" t="s">
        <v>533</v>
      </c>
      <c r="E1815" s="704">
        <v>1</v>
      </c>
      <c r="F1815" s="704">
        <v>100</v>
      </c>
      <c r="H1815">
        <f t="shared" si="118"/>
        <v>4498</v>
      </c>
      <c r="I1815" t="str">
        <f t="shared" si="119"/>
        <v>Rest of Qld</v>
      </c>
    </row>
    <row r="1816" spans="1:9" x14ac:dyDescent="0.2">
      <c r="A1816" s="704">
        <v>4500</v>
      </c>
      <c r="B1816" s="704">
        <v>4500</v>
      </c>
      <c r="C1816" s="704" t="s">
        <v>584</v>
      </c>
      <c r="D1816" s="704" t="s">
        <v>547</v>
      </c>
      <c r="E1816" s="704">
        <v>1</v>
      </c>
      <c r="F1816" s="704">
        <v>100</v>
      </c>
      <c r="H1816">
        <f t="shared" si="118"/>
        <v>4500</v>
      </c>
      <c r="I1816" t="str">
        <f t="shared" si="119"/>
        <v>Greater Brisbane</v>
      </c>
    </row>
    <row r="1817" spans="1:9" x14ac:dyDescent="0.2">
      <c r="A1817" s="704">
        <v>4501</v>
      </c>
      <c r="B1817" s="704">
        <v>4501</v>
      </c>
      <c r="C1817" s="704" t="s">
        <v>584</v>
      </c>
      <c r="D1817" s="704" t="s">
        <v>547</v>
      </c>
      <c r="E1817" s="704">
        <v>1</v>
      </c>
      <c r="F1817" s="704">
        <v>100</v>
      </c>
      <c r="H1817">
        <f t="shared" si="118"/>
        <v>4501</v>
      </c>
      <c r="I1817" t="str">
        <f t="shared" si="119"/>
        <v>Greater Brisbane</v>
      </c>
    </row>
    <row r="1818" spans="1:9" x14ac:dyDescent="0.2">
      <c r="A1818" s="704">
        <v>4502</v>
      </c>
      <c r="B1818" s="704">
        <v>4502</v>
      </c>
      <c r="C1818" s="704" t="s">
        <v>584</v>
      </c>
      <c r="D1818" s="704" t="s">
        <v>547</v>
      </c>
      <c r="E1818" s="704">
        <v>1</v>
      </c>
      <c r="F1818" s="704">
        <v>100</v>
      </c>
      <c r="H1818">
        <f t="shared" si="118"/>
        <v>4502</v>
      </c>
      <c r="I1818" t="str">
        <f t="shared" si="119"/>
        <v>Greater Brisbane</v>
      </c>
    </row>
    <row r="1819" spans="1:9" x14ac:dyDescent="0.2">
      <c r="A1819" s="704">
        <v>4503</v>
      </c>
      <c r="B1819" s="704">
        <v>4503</v>
      </c>
      <c r="C1819" s="704" t="s">
        <v>584</v>
      </c>
      <c r="D1819" s="704" t="s">
        <v>547</v>
      </c>
      <c r="E1819" s="704">
        <v>1</v>
      </c>
      <c r="F1819" s="704">
        <v>100</v>
      </c>
      <c r="H1819">
        <f t="shared" si="118"/>
        <v>4503</v>
      </c>
      <c r="I1819" t="str">
        <f t="shared" si="119"/>
        <v>Greater Brisbane</v>
      </c>
    </row>
    <row r="1820" spans="1:9" x14ac:dyDescent="0.2">
      <c r="A1820" s="704">
        <v>4504</v>
      </c>
      <c r="B1820" s="704">
        <v>4504</v>
      </c>
      <c r="C1820" s="704" t="s">
        <v>584</v>
      </c>
      <c r="D1820" s="704" t="s">
        <v>547</v>
      </c>
      <c r="E1820" s="704">
        <v>1</v>
      </c>
      <c r="F1820" s="704">
        <v>100</v>
      </c>
      <c r="H1820">
        <f t="shared" si="118"/>
        <v>4504</v>
      </c>
      <c r="I1820" t="str">
        <f t="shared" si="119"/>
        <v>Greater Brisbane</v>
      </c>
    </row>
    <row r="1821" spans="1:9" x14ac:dyDescent="0.2">
      <c r="A1821" s="704">
        <v>4505</v>
      </c>
      <c r="B1821" s="704">
        <v>4505</v>
      </c>
      <c r="C1821" s="704" t="s">
        <v>584</v>
      </c>
      <c r="D1821" s="704" t="s">
        <v>547</v>
      </c>
      <c r="E1821" s="704">
        <v>1</v>
      </c>
      <c r="F1821" s="704">
        <v>100</v>
      </c>
      <c r="H1821">
        <f t="shared" si="118"/>
        <v>4505</v>
      </c>
      <c r="I1821" t="str">
        <f t="shared" si="119"/>
        <v>Greater Brisbane</v>
      </c>
    </row>
    <row r="1822" spans="1:9" x14ac:dyDescent="0.2">
      <c r="A1822" s="704">
        <v>4506</v>
      </c>
      <c r="B1822" s="704">
        <v>4506</v>
      </c>
      <c r="C1822" s="704" t="s">
        <v>584</v>
      </c>
      <c r="D1822" s="704" t="s">
        <v>547</v>
      </c>
      <c r="E1822" s="704">
        <v>1</v>
      </c>
      <c r="F1822" s="704">
        <v>100</v>
      </c>
      <c r="H1822">
        <f t="shared" si="118"/>
        <v>4506</v>
      </c>
      <c r="I1822" t="str">
        <f t="shared" si="119"/>
        <v>Greater Brisbane</v>
      </c>
    </row>
    <row r="1823" spans="1:9" x14ac:dyDescent="0.2">
      <c r="A1823" s="704">
        <v>4507</v>
      </c>
      <c r="B1823" s="704">
        <v>4507</v>
      </c>
      <c r="C1823" s="704" t="s">
        <v>584</v>
      </c>
      <c r="D1823" s="704" t="s">
        <v>547</v>
      </c>
      <c r="E1823" s="704">
        <v>0.99678500000000003</v>
      </c>
      <c r="F1823" s="704">
        <v>99.6785</v>
      </c>
      <c r="H1823">
        <f t="shared" si="118"/>
        <v>4507</v>
      </c>
      <c r="I1823" t="str">
        <f t="shared" si="119"/>
        <v>Greater Brisbane</v>
      </c>
    </row>
    <row r="1824" spans="1:9" x14ac:dyDescent="0.2">
      <c r="A1824" s="704">
        <v>4508</v>
      </c>
      <c r="B1824" s="704">
        <v>4508</v>
      </c>
      <c r="C1824" s="704" t="s">
        <v>584</v>
      </c>
      <c r="D1824" s="704" t="s">
        <v>547</v>
      </c>
      <c r="E1824" s="704">
        <v>0.99999700000000002</v>
      </c>
      <c r="F1824" s="704">
        <v>99.999700000000004</v>
      </c>
      <c r="H1824">
        <f t="shared" si="118"/>
        <v>4508</v>
      </c>
      <c r="I1824" t="str">
        <f t="shared" si="119"/>
        <v>Greater Brisbane</v>
      </c>
    </row>
    <row r="1825" spans="1:9" x14ac:dyDescent="0.2">
      <c r="A1825" s="704">
        <v>4509</v>
      </c>
      <c r="B1825" s="704">
        <v>4509</v>
      </c>
      <c r="C1825" s="704" t="s">
        <v>584</v>
      </c>
      <c r="D1825" s="704" t="s">
        <v>547</v>
      </c>
      <c r="E1825" s="704">
        <v>1</v>
      </c>
      <c r="F1825" s="704">
        <v>100</v>
      </c>
      <c r="H1825">
        <f t="shared" si="118"/>
        <v>4509</v>
      </c>
      <c r="I1825" t="str">
        <f t="shared" si="119"/>
        <v>Greater Brisbane</v>
      </c>
    </row>
    <row r="1826" spans="1:9" x14ac:dyDescent="0.2">
      <c r="A1826" s="704">
        <v>4510</v>
      </c>
      <c r="B1826" s="704">
        <v>4510</v>
      </c>
      <c r="C1826" s="704" t="s">
        <v>584</v>
      </c>
      <c r="D1826" s="704" t="s">
        <v>547</v>
      </c>
      <c r="E1826" s="704">
        <v>0.99888200000000005</v>
      </c>
      <c r="F1826" s="704">
        <v>99.888199999999998</v>
      </c>
      <c r="H1826">
        <f t="shared" si="118"/>
        <v>4510</v>
      </c>
      <c r="I1826" t="str">
        <f t="shared" si="119"/>
        <v>Greater Brisbane</v>
      </c>
    </row>
    <row r="1827" spans="1:9" x14ac:dyDescent="0.2">
      <c r="A1827" s="704">
        <v>4511</v>
      </c>
      <c r="B1827" s="704">
        <v>4511</v>
      </c>
      <c r="C1827" s="704" t="s">
        <v>584</v>
      </c>
      <c r="D1827" s="704" t="s">
        <v>547</v>
      </c>
      <c r="E1827" s="704">
        <v>0.99752099999999999</v>
      </c>
      <c r="F1827" s="704">
        <v>99.752099999999999</v>
      </c>
      <c r="H1827">
        <f t="shared" si="118"/>
        <v>4511</v>
      </c>
      <c r="I1827" t="str">
        <f t="shared" si="119"/>
        <v>Greater Brisbane</v>
      </c>
    </row>
    <row r="1828" spans="1:9" x14ac:dyDescent="0.2">
      <c r="A1828" s="704">
        <v>4512</v>
      </c>
      <c r="B1828" s="704">
        <v>4512</v>
      </c>
      <c r="C1828" s="704" t="s">
        <v>584</v>
      </c>
      <c r="D1828" s="704" t="s">
        <v>547</v>
      </c>
      <c r="E1828" s="704">
        <v>1</v>
      </c>
      <c r="F1828" s="704">
        <v>100</v>
      </c>
      <c r="H1828">
        <f t="shared" si="118"/>
        <v>4512</v>
      </c>
      <c r="I1828" t="str">
        <f t="shared" si="119"/>
        <v>Greater Brisbane</v>
      </c>
    </row>
    <row r="1829" spans="1:9" x14ac:dyDescent="0.2">
      <c r="A1829" s="704">
        <v>4514</v>
      </c>
      <c r="B1829" s="704">
        <v>4514</v>
      </c>
      <c r="C1829" s="704" t="s">
        <v>584</v>
      </c>
      <c r="D1829" s="704" t="s">
        <v>547</v>
      </c>
      <c r="E1829" s="704">
        <v>1</v>
      </c>
      <c r="F1829" s="704">
        <v>100</v>
      </c>
      <c r="H1829">
        <f t="shared" si="118"/>
        <v>4514</v>
      </c>
      <c r="I1829" t="str">
        <f t="shared" si="119"/>
        <v>Greater Brisbane</v>
      </c>
    </row>
    <row r="1830" spans="1:9" x14ac:dyDescent="0.2">
      <c r="A1830" s="704">
        <v>4515</v>
      </c>
      <c r="B1830" s="704">
        <v>4515</v>
      </c>
      <c r="C1830" s="704" t="s">
        <v>584</v>
      </c>
      <c r="D1830" s="704" t="s">
        <v>547</v>
      </c>
      <c r="E1830" s="704">
        <v>1</v>
      </c>
      <c r="F1830" s="704">
        <v>100</v>
      </c>
      <c r="H1830">
        <f t="shared" si="118"/>
        <v>4515</v>
      </c>
      <c r="I1830" t="str">
        <f t="shared" si="119"/>
        <v>Greater Brisbane</v>
      </c>
    </row>
    <row r="1831" spans="1:9" x14ac:dyDescent="0.2">
      <c r="A1831" s="704">
        <v>4516</v>
      </c>
      <c r="B1831" s="704">
        <v>4516</v>
      </c>
      <c r="C1831" s="704" t="s">
        <v>584</v>
      </c>
      <c r="D1831" s="704" t="s">
        <v>547</v>
      </c>
      <c r="E1831" s="704">
        <v>0.99993900000000002</v>
      </c>
      <c r="F1831" s="704">
        <v>99.993899999999996</v>
      </c>
      <c r="H1831">
        <f t="shared" si="118"/>
        <v>4516</v>
      </c>
      <c r="I1831" t="str">
        <f t="shared" si="119"/>
        <v>Greater Brisbane</v>
      </c>
    </row>
    <row r="1832" spans="1:9" x14ac:dyDescent="0.2">
      <c r="A1832" s="704">
        <v>4517</v>
      </c>
      <c r="B1832" s="704">
        <v>4517</v>
      </c>
      <c r="C1832" s="704" t="s">
        <v>579</v>
      </c>
      <c r="D1832" s="704" t="s">
        <v>533</v>
      </c>
      <c r="E1832" s="704">
        <v>0.99999300000000002</v>
      </c>
      <c r="F1832" s="704">
        <v>99.999300000000005</v>
      </c>
      <c r="H1832">
        <f t="shared" si="118"/>
        <v>4517</v>
      </c>
      <c r="I1832" t="str">
        <f t="shared" si="119"/>
        <v>Rest of Qld</v>
      </c>
    </row>
    <row r="1833" spans="1:9" x14ac:dyDescent="0.2">
      <c r="A1833" s="704">
        <v>4518</v>
      </c>
      <c r="B1833" s="704">
        <v>4518</v>
      </c>
      <c r="C1833" s="704" t="s">
        <v>579</v>
      </c>
      <c r="D1833" s="704" t="s">
        <v>533</v>
      </c>
      <c r="E1833" s="704">
        <v>1</v>
      </c>
      <c r="F1833" s="704">
        <v>100</v>
      </c>
      <c r="H1833">
        <f t="shared" si="118"/>
        <v>4518</v>
      </c>
      <c r="I1833" t="str">
        <f t="shared" si="119"/>
        <v>Rest of Qld</v>
      </c>
    </row>
    <row r="1834" spans="1:9" x14ac:dyDescent="0.2">
      <c r="A1834" s="704">
        <v>4519</v>
      </c>
      <c r="B1834" s="704">
        <v>4519</v>
      </c>
      <c r="C1834" s="704" t="s">
        <v>579</v>
      </c>
      <c r="D1834" s="704" t="s">
        <v>533</v>
      </c>
      <c r="E1834" s="704">
        <v>0.99972700000000003</v>
      </c>
      <c r="F1834" s="704">
        <v>99.972700000000003</v>
      </c>
      <c r="H1834">
        <f t="shared" si="118"/>
        <v>4519</v>
      </c>
      <c r="I1834" t="str">
        <f t="shared" si="119"/>
        <v>Rest of Qld</v>
      </c>
    </row>
    <row r="1835" spans="1:9" x14ac:dyDescent="0.2">
      <c r="A1835" s="704">
        <v>4520</v>
      </c>
      <c r="B1835" s="704">
        <v>4520</v>
      </c>
      <c r="C1835" s="704" t="s">
        <v>584</v>
      </c>
      <c r="D1835" s="704" t="s">
        <v>547</v>
      </c>
      <c r="E1835" s="704">
        <v>1</v>
      </c>
      <c r="F1835" s="704">
        <v>100</v>
      </c>
      <c r="H1835">
        <f t="shared" si="118"/>
        <v>4520</v>
      </c>
      <c r="I1835" t="str">
        <f t="shared" si="119"/>
        <v>Greater Brisbane</v>
      </c>
    </row>
    <row r="1836" spans="1:9" x14ac:dyDescent="0.2">
      <c r="A1836" s="704">
        <v>4521</v>
      </c>
      <c r="B1836" s="704">
        <v>4521</v>
      </c>
      <c r="C1836" s="704" t="s">
        <v>584</v>
      </c>
      <c r="D1836" s="704" t="s">
        <v>547</v>
      </c>
      <c r="E1836" s="704">
        <v>1</v>
      </c>
      <c r="F1836" s="704">
        <v>100</v>
      </c>
      <c r="H1836">
        <f t="shared" si="118"/>
        <v>4521</v>
      </c>
      <c r="I1836" t="str">
        <f t="shared" si="119"/>
        <v>Greater Brisbane</v>
      </c>
    </row>
    <row r="1837" spans="1:9" x14ac:dyDescent="0.2">
      <c r="A1837" s="704">
        <v>4550</v>
      </c>
      <c r="B1837" s="704">
        <v>4550</v>
      </c>
      <c r="C1837" s="704" t="s">
        <v>579</v>
      </c>
      <c r="D1837" s="704" t="s">
        <v>533</v>
      </c>
      <c r="E1837" s="704">
        <v>1</v>
      </c>
      <c r="F1837" s="704">
        <v>100</v>
      </c>
      <c r="H1837">
        <f t="shared" si="118"/>
        <v>4550</v>
      </c>
      <c r="I1837" t="str">
        <f t="shared" si="119"/>
        <v>Rest of Qld</v>
      </c>
    </row>
    <row r="1838" spans="1:9" x14ac:dyDescent="0.2">
      <c r="A1838" s="704">
        <v>4551</v>
      </c>
      <c r="B1838" s="704">
        <v>4551</v>
      </c>
      <c r="C1838" s="704" t="s">
        <v>579</v>
      </c>
      <c r="D1838" s="704" t="s">
        <v>533</v>
      </c>
      <c r="E1838" s="704">
        <v>0.99979200000000001</v>
      </c>
      <c r="F1838" s="704">
        <v>99.979200000000006</v>
      </c>
      <c r="H1838">
        <f t="shared" si="118"/>
        <v>4551</v>
      </c>
      <c r="I1838" t="str">
        <f t="shared" si="119"/>
        <v>Rest of Qld</v>
      </c>
    </row>
    <row r="1839" spans="1:9" x14ac:dyDescent="0.2">
      <c r="A1839" s="704">
        <v>4552</v>
      </c>
      <c r="B1839" s="704">
        <v>4552</v>
      </c>
      <c r="C1839" s="704" t="s">
        <v>584</v>
      </c>
      <c r="D1839" s="704" t="s">
        <v>547</v>
      </c>
      <c r="E1839" s="704">
        <v>1.6554900000000001E-2</v>
      </c>
      <c r="F1839" s="704">
        <v>1.6554899999999999</v>
      </c>
      <c r="H1839">
        <f t="shared" si="118"/>
        <v>4552</v>
      </c>
      <c r="I1839" t="str">
        <f t="shared" si="119"/>
        <v>Greater Brisbane</v>
      </c>
    </row>
    <row r="1840" spans="1:9" x14ac:dyDescent="0.2">
      <c r="A1840" s="704">
        <v>4552</v>
      </c>
      <c r="B1840" s="704">
        <v>4552</v>
      </c>
      <c r="C1840" s="704" t="s">
        <v>579</v>
      </c>
      <c r="D1840" s="704" t="s">
        <v>533</v>
      </c>
      <c r="E1840" s="704">
        <v>0.98344500000000001</v>
      </c>
      <c r="F1840" s="704">
        <v>98.344499999999996</v>
      </c>
      <c r="H1840">
        <f t="shared" si="118"/>
        <v>4552</v>
      </c>
      <c r="I1840" t="str">
        <f t="shared" si="119"/>
        <v>Rest of Qld</v>
      </c>
    </row>
    <row r="1841" spans="1:9" x14ac:dyDescent="0.2">
      <c r="A1841" s="704">
        <v>4553</v>
      </c>
      <c r="B1841" s="704">
        <v>4553</v>
      </c>
      <c r="C1841" s="704" t="s">
        <v>579</v>
      </c>
      <c r="D1841" s="704" t="s">
        <v>533</v>
      </c>
      <c r="E1841" s="704">
        <v>1</v>
      </c>
      <c r="F1841" s="704">
        <v>100</v>
      </c>
      <c r="H1841">
        <f t="shared" si="118"/>
        <v>4553</v>
      </c>
      <c r="I1841" t="str">
        <f t="shared" si="119"/>
        <v>Rest of Qld</v>
      </c>
    </row>
    <row r="1842" spans="1:9" x14ac:dyDescent="0.2">
      <c r="A1842" s="704">
        <v>4554</v>
      </c>
      <c r="B1842" s="704">
        <v>4554</v>
      </c>
      <c r="C1842" s="704" t="s">
        <v>579</v>
      </c>
      <c r="D1842" s="704" t="s">
        <v>533</v>
      </c>
      <c r="E1842" s="704">
        <v>1</v>
      </c>
      <c r="F1842" s="704">
        <v>100</v>
      </c>
      <c r="H1842">
        <f t="shared" si="118"/>
        <v>4554</v>
      </c>
      <c r="I1842" t="str">
        <f t="shared" si="119"/>
        <v>Rest of Qld</v>
      </c>
    </row>
    <row r="1843" spans="1:9" x14ac:dyDescent="0.2">
      <c r="A1843" s="704">
        <v>4555</v>
      </c>
      <c r="B1843" s="704">
        <v>4555</v>
      </c>
      <c r="C1843" s="704" t="s">
        <v>579</v>
      </c>
      <c r="D1843" s="704" t="s">
        <v>533</v>
      </c>
      <c r="E1843" s="704">
        <v>1</v>
      </c>
      <c r="F1843" s="704">
        <v>100</v>
      </c>
      <c r="H1843">
        <f t="shared" si="118"/>
        <v>4555</v>
      </c>
      <c r="I1843" t="str">
        <f t="shared" si="119"/>
        <v>Rest of Qld</v>
      </c>
    </row>
    <row r="1844" spans="1:9" x14ac:dyDescent="0.2">
      <c r="A1844" s="704">
        <v>4556</v>
      </c>
      <c r="B1844" s="704">
        <v>4556</v>
      </c>
      <c r="C1844" s="704" t="s">
        <v>579</v>
      </c>
      <c r="D1844" s="704" t="s">
        <v>533</v>
      </c>
      <c r="E1844" s="704">
        <v>1</v>
      </c>
      <c r="F1844" s="704">
        <v>100</v>
      </c>
      <c r="H1844">
        <f t="shared" si="118"/>
        <v>4556</v>
      </c>
      <c r="I1844" t="str">
        <f t="shared" si="119"/>
        <v>Rest of Qld</v>
      </c>
    </row>
    <row r="1845" spans="1:9" x14ac:dyDescent="0.2">
      <c r="A1845" s="704">
        <v>4557</v>
      </c>
      <c r="B1845" s="704">
        <v>4557</v>
      </c>
      <c r="C1845" s="704" t="s">
        <v>579</v>
      </c>
      <c r="D1845" s="704" t="s">
        <v>533</v>
      </c>
      <c r="E1845" s="704">
        <v>1</v>
      </c>
      <c r="F1845" s="704">
        <v>100</v>
      </c>
      <c r="H1845">
        <f t="shared" si="118"/>
        <v>4557</v>
      </c>
      <c r="I1845" t="str">
        <f t="shared" si="119"/>
        <v>Rest of Qld</v>
      </c>
    </row>
    <row r="1846" spans="1:9" x14ac:dyDescent="0.2">
      <c r="A1846" s="704">
        <v>4558</v>
      </c>
      <c r="B1846" s="704">
        <v>4558</v>
      </c>
      <c r="C1846" s="704" t="s">
        <v>579</v>
      </c>
      <c r="D1846" s="704" t="s">
        <v>533</v>
      </c>
      <c r="E1846" s="704">
        <v>1</v>
      </c>
      <c r="F1846" s="704">
        <v>100</v>
      </c>
      <c r="H1846">
        <f t="shared" si="118"/>
        <v>4558</v>
      </c>
      <c r="I1846" t="str">
        <f t="shared" si="119"/>
        <v>Rest of Qld</v>
      </c>
    </row>
    <row r="1847" spans="1:9" x14ac:dyDescent="0.2">
      <c r="A1847" s="704">
        <v>4559</v>
      </c>
      <c r="B1847" s="704">
        <v>4559</v>
      </c>
      <c r="C1847" s="704" t="s">
        <v>579</v>
      </c>
      <c r="D1847" s="704" t="s">
        <v>533</v>
      </c>
      <c r="E1847" s="704">
        <v>1</v>
      </c>
      <c r="F1847" s="704">
        <v>100</v>
      </c>
      <c r="H1847">
        <f t="shared" si="118"/>
        <v>4559</v>
      </c>
      <c r="I1847" t="str">
        <f t="shared" si="119"/>
        <v>Rest of Qld</v>
      </c>
    </row>
    <row r="1848" spans="1:9" x14ac:dyDescent="0.2">
      <c r="A1848" s="704">
        <v>4560</v>
      </c>
      <c r="B1848" s="704">
        <v>4560</v>
      </c>
      <c r="C1848" s="704" t="s">
        <v>579</v>
      </c>
      <c r="D1848" s="704" t="s">
        <v>533</v>
      </c>
      <c r="E1848" s="704">
        <v>1</v>
      </c>
      <c r="F1848" s="704">
        <v>100</v>
      </c>
      <c r="H1848">
        <f t="shared" si="118"/>
        <v>4560</v>
      </c>
      <c r="I1848" t="str">
        <f t="shared" si="119"/>
        <v>Rest of Qld</v>
      </c>
    </row>
    <row r="1849" spans="1:9" x14ac:dyDescent="0.2">
      <c r="A1849" s="704">
        <v>4561</v>
      </c>
      <c r="B1849" s="704">
        <v>4561</v>
      </c>
      <c r="C1849" s="704" t="s">
        <v>579</v>
      </c>
      <c r="D1849" s="704" t="s">
        <v>533</v>
      </c>
      <c r="E1849" s="704">
        <v>1</v>
      </c>
      <c r="F1849" s="704">
        <v>100</v>
      </c>
      <c r="H1849">
        <f t="shared" ref="H1849:H1912" si="120">A1849*1</f>
        <v>4561</v>
      </c>
      <c r="I1849" t="str">
        <f t="shared" ref="I1849:I1912" si="121">D1849</f>
        <v>Rest of Qld</v>
      </c>
    </row>
    <row r="1850" spans="1:9" x14ac:dyDescent="0.2">
      <c r="A1850" s="704">
        <v>4562</v>
      </c>
      <c r="B1850" s="704">
        <v>4562</v>
      </c>
      <c r="C1850" s="704" t="s">
        <v>579</v>
      </c>
      <c r="D1850" s="704" t="s">
        <v>533</v>
      </c>
      <c r="E1850" s="704">
        <v>1</v>
      </c>
      <c r="F1850" s="704">
        <v>100</v>
      </c>
      <c r="H1850">
        <f t="shared" si="120"/>
        <v>4562</v>
      </c>
      <c r="I1850" t="str">
        <f t="shared" si="121"/>
        <v>Rest of Qld</v>
      </c>
    </row>
    <row r="1851" spans="1:9" x14ac:dyDescent="0.2">
      <c r="A1851" s="704">
        <v>4563</v>
      </c>
      <c r="B1851" s="704">
        <v>4563</v>
      </c>
      <c r="C1851" s="704" t="s">
        <v>579</v>
      </c>
      <c r="D1851" s="704" t="s">
        <v>533</v>
      </c>
      <c r="E1851" s="704">
        <v>1</v>
      </c>
      <c r="F1851" s="704">
        <v>100</v>
      </c>
      <c r="H1851">
        <f t="shared" si="120"/>
        <v>4563</v>
      </c>
      <c r="I1851" t="str">
        <f t="shared" si="121"/>
        <v>Rest of Qld</v>
      </c>
    </row>
    <row r="1852" spans="1:9" x14ac:dyDescent="0.2">
      <c r="A1852" s="704">
        <v>4564</v>
      </c>
      <c r="B1852" s="704">
        <v>4564</v>
      </c>
      <c r="C1852" s="704" t="s">
        <v>579</v>
      </c>
      <c r="D1852" s="704" t="s">
        <v>533</v>
      </c>
      <c r="E1852" s="704">
        <v>1</v>
      </c>
      <c r="F1852" s="704">
        <v>100</v>
      </c>
      <c r="H1852">
        <f t="shared" si="120"/>
        <v>4564</v>
      </c>
      <c r="I1852" t="str">
        <f t="shared" si="121"/>
        <v>Rest of Qld</v>
      </c>
    </row>
    <row r="1853" spans="1:9" x14ac:dyDescent="0.2">
      <c r="A1853" s="704">
        <v>4565</v>
      </c>
      <c r="B1853" s="704">
        <v>4565</v>
      </c>
      <c r="C1853" s="704" t="s">
        <v>579</v>
      </c>
      <c r="D1853" s="704" t="s">
        <v>533</v>
      </c>
      <c r="E1853" s="704">
        <v>1</v>
      </c>
      <c r="F1853" s="704">
        <v>100</v>
      </c>
      <c r="H1853">
        <f t="shared" si="120"/>
        <v>4565</v>
      </c>
      <c r="I1853" t="str">
        <f t="shared" si="121"/>
        <v>Rest of Qld</v>
      </c>
    </row>
    <row r="1854" spans="1:9" x14ac:dyDescent="0.2">
      <c r="A1854" s="704">
        <v>4566</v>
      </c>
      <c r="B1854" s="704">
        <v>4566</v>
      </c>
      <c r="C1854" s="704" t="s">
        <v>579</v>
      </c>
      <c r="D1854" s="704" t="s">
        <v>533</v>
      </c>
      <c r="E1854" s="704">
        <v>1</v>
      </c>
      <c r="F1854" s="704">
        <v>100</v>
      </c>
      <c r="H1854">
        <f t="shared" si="120"/>
        <v>4566</v>
      </c>
      <c r="I1854" t="str">
        <f t="shared" si="121"/>
        <v>Rest of Qld</v>
      </c>
    </row>
    <row r="1855" spans="1:9" x14ac:dyDescent="0.2">
      <c r="A1855" s="704">
        <v>4567</v>
      </c>
      <c r="B1855" s="704">
        <v>4567</v>
      </c>
      <c r="C1855" s="704" t="s">
        <v>579</v>
      </c>
      <c r="D1855" s="704" t="s">
        <v>533</v>
      </c>
      <c r="E1855" s="704">
        <v>1</v>
      </c>
      <c r="F1855" s="704">
        <v>100</v>
      </c>
      <c r="H1855">
        <f t="shared" si="120"/>
        <v>4567</v>
      </c>
      <c r="I1855" t="str">
        <f t="shared" si="121"/>
        <v>Rest of Qld</v>
      </c>
    </row>
    <row r="1856" spans="1:9" x14ac:dyDescent="0.2">
      <c r="A1856" s="704">
        <v>4568</v>
      </c>
      <c r="B1856" s="704">
        <v>4568</v>
      </c>
      <c r="C1856" s="704" t="s">
        <v>579</v>
      </c>
      <c r="D1856" s="704" t="s">
        <v>533</v>
      </c>
      <c r="E1856" s="704">
        <v>1</v>
      </c>
      <c r="F1856" s="704">
        <v>100</v>
      </c>
      <c r="H1856">
        <f t="shared" si="120"/>
        <v>4568</v>
      </c>
      <c r="I1856" t="str">
        <f t="shared" si="121"/>
        <v>Rest of Qld</v>
      </c>
    </row>
    <row r="1857" spans="1:9" x14ac:dyDescent="0.2">
      <c r="A1857" s="704">
        <v>4569</v>
      </c>
      <c r="B1857" s="704">
        <v>4569</v>
      </c>
      <c r="C1857" s="704" t="s">
        <v>579</v>
      </c>
      <c r="D1857" s="704" t="s">
        <v>533</v>
      </c>
      <c r="E1857" s="704">
        <v>1</v>
      </c>
      <c r="F1857" s="704">
        <v>100</v>
      </c>
      <c r="H1857">
        <f t="shared" si="120"/>
        <v>4569</v>
      </c>
      <c r="I1857" t="str">
        <f t="shared" si="121"/>
        <v>Rest of Qld</v>
      </c>
    </row>
    <row r="1858" spans="1:9" x14ac:dyDescent="0.2">
      <c r="A1858" s="704">
        <v>4570</v>
      </c>
      <c r="B1858" s="704">
        <v>4570</v>
      </c>
      <c r="C1858" s="704" t="s">
        <v>579</v>
      </c>
      <c r="D1858" s="704" t="s">
        <v>533</v>
      </c>
      <c r="E1858" s="704">
        <v>0.99999899999999997</v>
      </c>
      <c r="F1858" s="704">
        <v>99.999899999999997</v>
      </c>
      <c r="H1858">
        <f t="shared" si="120"/>
        <v>4570</v>
      </c>
      <c r="I1858" t="str">
        <f t="shared" si="121"/>
        <v>Rest of Qld</v>
      </c>
    </row>
    <row r="1859" spans="1:9" x14ac:dyDescent="0.2">
      <c r="A1859" s="704">
        <v>4571</v>
      </c>
      <c r="B1859" s="704">
        <v>4571</v>
      </c>
      <c r="C1859" s="704" t="s">
        <v>579</v>
      </c>
      <c r="D1859" s="704" t="s">
        <v>533</v>
      </c>
      <c r="E1859" s="704">
        <v>1</v>
      </c>
      <c r="F1859" s="704">
        <v>100</v>
      </c>
      <c r="H1859">
        <f t="shared" si="120"/>
        <v>4571</v>
      </c>
      <c r="I1859" t="str">
        <f t="shared" si="121"/>
        <v>Rest of Qld</v>
      </c>
    </row>
    <row r="1860" spans="1:9" x14ac:dyDescent="0.2">
      <c r="A1860" s="704">
        <v>4572</v>
      </c>
      <c r="B1860" s="704">
        <v>4572</v>
      </c>
      <c r="C1860" s="704" t="s">
        <v>579</v>
      </c>
      <c r="D1860" s="704" t="s">
        <v>533</v>
      </c>
      <c r="E1860" s="704">
        <v>0.99007800000000001</v>
      </c>
      <c r="F1860" s="704">
        <v>99.007800000000003</v>
      </c>
      <c r="H1860">
        <f t="shared" si="120"/>
        <v>4572</v>
      </c>
      <c r="I1860" t="str">
        <f t="shared" si="121"/>
        <v>Rest of Qld</v>
      </c>
    </row>
    <row r="1861" spans="1:9" x14ac:dyDescent="0.2">
      <c r="A1861" s="704">
        <v>4573</v>
      </c>
      <c r="B1861" s="704">
        <v>4573</v>
      </c>
      <c r="C1861" s="704" t="s">
        <v>579</v>
      </c>
      <c r="D1861" s="704" t="s">
        <v>533</v>
      </c>
      <c r="E1861" s="704">
        <v>1</v>
      </c>
      <c r="F1861" s="704">
        <v>100</v>
      </c>
      <c r="H1861">
        <f t="shared" si="120"/>
        <v>4573</v>
      </c>
      <c r="I1861" t="str">
        <f t="shared" si="121"/>
        <v>Rest of Qld</v>
      </c>
    </row>
    <row r="1862" spans="1:9" x14ac:dyDescent="0.2">
      <c r="A1862" s="704">
        <v>4574</v>
      </c>
      <c r="B1862" s="704">
        <v>4574</v>
      </c>
      <c r="C1862" s="704" t="s">
        <v>579</v>
      </c>
      <c r="D1862" s="704" t="s">
        <v>533</v>
      </c>
      <c r="E1862" s="704">
        <v>1</v>
      </c>
      <c r="F1862" s="704">
        <v>100</v>
      </c>
      <c r="H1862">
        <f t="shared" si="120"/>
        <v>4574</v>
      </c>
      <c r="I1862" t="str">
        <f t="shared" si="121"/>
        <v>Rest of Qld</v>
      </c>
    </row>
    <row r="1863" spans="1:9" x14ac:dyDescent="0.2">
      <c r="A1863" s="704">
        <v>4575</v>
      </c>
      <c r="B1863" s="704">
        <v>4575</v>
      </c>
      <c r="C1863" s="704" t="s">
        <v>579</v>
      </c>
      <c r="D1863" s="704" t="s">
        <v>533</v>
      </c>
      <c r="E1863" s="704">
        <v>1</v>
      </c>
      <c r="F1863" s="704">
        <v>100</v>
      </c>
      <c r="H1863">
        <f t="shared" si="120"/>
        <v>4575</v>
      </c>
      <c r="I1863" t="str">
        <f t="shared" si="121"/>
        <v>Rest of Qld</v>
      </c>
    </row>
    <row r="1864" spans="1:9" x14ac:dyDescent="0.2">
      <c r="A1864" s="704">
        <v>4580</v>
      </c>
      <c r="B1864" s="704">
        <v>4580</v>
      </c>
      <c r="C1864" s="704" t="s">
        <v>579</v>
      </c>
      <c r="D1864" s="704" t="s">
        <v>533</v>
      </c>
      <c r="E1864" s="704">
        <v>0.99999800000000005</v>
      </c>
      <c r="F1864" s="704">
        <v>99.999799999999993</v>
      </c>
      <c r="H1864">
        <f t="shared" si="120"/>
        <v>4580</v>
      </c>
      <c r="I1864" t="str">
        <f t="shared" si="121"/>
        <v>Rest of Qld</v>
      </c>
    </row>
    <row r="1865" spans="1:9" x14ac:dyDescent="0.2">
      <c r="A1865" s="704">
        <v>4581</v>
      </c>
      <c r="B1865" s="704">
        <v>4581</v>
      </c>
      <c r="C1865" s="704" t="s">
        <v>579</v>
      </c>
      <c r="D1865" s="704" t="s">
        <v>533</v>
      </c>
      <c r="E1865" s="704">
        <v>0.99966699999999997</v>
      </c>
      <c r="F1865" s="704">
        <v>99.966700000000003</v>
      </c>
      <c r="H1865">
        <f t="shared" si="120"/>
        <v>4581</v>
      </c>
      <c r="I1865" t="str">
        <f t="shared" si="121"/>
        <v>Rest of Qld</v>
      </c>
    </row>
    <row r="1866" spans="1:9" x14ac:dyDescent="0.2">
      <c r="A1866" s="704">
        <v>4600</v>
      </c>
      <c r="B1866" s="704">
        <v>4600</v>
      </c>
      <c r="C1866" s="704" t="s">
        <v>579</v>
      </c>
      <c r="D1866" s="704" t="s">
        <v>533</v>
      </c>
      <c r="E1866" s="704">
        <v>1</v>
      </c>
      <c r="F1866" s="704">
        <v>100</v>
      </c>
      <c r="H1866">
        <f t="shared" si="120"/>
        <v>4600</v>
      </c>
      <c r="I1866" t="str">
        <f t="shared" si="121"/>
        <v>Rest of Qld</v>
      </c>
    </row>
    <row r="1867" spans="1:9" x14ac:dyDescent="0.2">
      <c r="A1867" s="704">
        <v>4601</v>
      </c>
      <c r="B1867" s="704">
        <v>4601</v>
      </c>
      <c r="C1867" s="704" t="s">
        <v>579</v>
      </c>
      <c r="D1867" s="704" t="s">
        <v>533</v>
      </c>
      <c r="E1867" s="704">
        <v>1</v>
      </c>
      <c r="F1867" s="704">
        <v>100</v>
      </c>
      <c r="H1867">
        <f t="shared" si="120"/>
        <v>4601</v>
      </c>
      <c r="I1867" t="str">
        <f t="shared" si="121"/>
        <v>Rest of Qld</v>
      </c>
    </row>
    <row r="1868" spans="1:9" x14ac:dyDescent="0.2">
      <c r="A1868" s="704">
        <v>4605</v>
      </c>
      <c r="B1868" s="704">
        <v>4605</v>
      </c>
      <c r="C1868" s="704" t="s">
        <v>579</v>
      </c>
      <c r="D1868" s="704" t="s">
        <v>533</v>
      </c>
      <c r="E1868" s="704">
        <v>1</v>
      </c>
      <c r="F1868" s="704">
        <v>100</v>
      </c>
      <c r="H1868">
        <f t="shared" si="120"/>
        <v>4605</v>
      </c>
      <c r="I1868" t="str">
        <f t="shared" si="121"/>
        <v>Rest of Qld</v>
      </c>
    </row>
    <row r="1869" spans="1:9" x14ac:dyDescent="0.2">
      <c r="A1869" s="704">
        <v>4606</v>
      </c>
      <c r="B1869" s="704">
        <v>4606</v>
      </c>
      <c r="C1869" s="704" t="s">
        <v>579</v>
      </c>
      <c r="D1869" s="704" t="s">
        <v>533</v>
      </c>
      <c r="E1869" s="704">
        <v>1</v>
      </c>
      <c r="F1869" s="704">
        <v>100</v>
      </c>
      <c r="H1869">
        <f t="shared" si="120"/>
        <v>4606</v>
      </c>
      <c r="I1869" t="str">
        <f t="shared" si="121"/>
        <v>Rest of Qld</v>
      </c>
    </row>
    <row r="1870" spans="1:9" x14ac:dyDescent="0.2">
      <c r="A1870" s="704">
        <v>4608</v>
      </c>
      <c r="B1870" s="704">
        <v>4608</v>
      </c>
      <c r="C1870" s="704" t="s">
        <v>579</v>
      </c>
      <c r="D1870" s="704" t="s">
        <v>533</v>
      </c>
      <c r="E1870" s="704">
        <v>1</v>
      </c>
      <c r="F1870" s="704">
        <v>100</v>
      </c>
      <c r="H1870">
        <f t="shared" si="120"/>
        <v>4608</v>
      </c>
      <c r="I1870" t="str">
        <f t="shared" si="121"/>
        <v>Rest of Qld</v>
      </c>
    </row>
    <row r="1871" spans="1:9" x14ac:dyDescent="0.2">
      <c r="A1871" s="704">
        <v>4610</v>
      </c>
      <c r="B1871" s="704">
        <v>4610</v>
      </c>
      <c r="C1871" s="704" t="s">
        <v>579</v>
      </c>
      <c r="D1871" s="704" t="s">
        <v>533</v>
      </c>
      <c r="E1871" s="704">
        <v>1</v>
      </c>
      <c r="F1871" s="704">
        <v>100</v>
      </c>
      <c r="H1871">
        <f t="shared" si="120"/>
        <v>4610</v>
      </c>
      <c r="I1871" t="str">
        <f t="shared" si="121"/>
        <v>Rest of Qld</v>
      </c>
    </row>
    <row r="1872" spans="1:9" x14ac:dyDescent="0.2">
      <c r="A1872" s="704">
        <v>4611</v>
      </c>
      <c r="B1872" s="704">
        <v>4611</v>
      </c>
      <c r="C1872" s="704" t="s">
        <v>579</v>
      </c>
      <c r="D1872" s="704" t="s">
        <v>533</v>
      </c>
      <c r="E1872" s="704">
        <v>1</v>
      </c>
      <c r="F1872" s="704">
        <v>100</v>
      </c>
      <c r="H1872">
        <f t="shared" si="120"/>
        <v>4611</v>
      </c>
      <c r="I1872" t="str">
        <f t="shared" si="121"/>
        <v>Rest of Qld</v>
      </c>
    </row>
    <row r="1873" spans="1:9" x14ac:dyDescent="0.2">
      <c r="A1873" s="704">
        <v>4612</v>
      </c>
      <c r="B1873" s="704">
        <v>4612</v>
      </c>
      <c r="C1873" s="704" t="s">
        <v>579</v>
      </c>
      <c r="D1873" s="704" t="s">
        <v>533</v>
      </c>
      <c r="E1873" s="704">
        <v>1</v>
      </c>
      <c r="F1873" s="704">
        <v>100</v>
      </c>
      <c r="H1873">
        <f t="shared" si="120"/>
        <v>4612</v>
      </c>
      <c r="I1873" t="str">
        <f t="shared" si="121"/>
        <v>Rest of Qld</v>
      </c>
    </row>
    <row r="1874" spans="1:9" x14ac:dyDescent="0.2">
      <c r="A1874" s="704">
        <v>4613</v>
      </c>
      <c r="B1874" s="704">
        <v>4613</v>
      </c>
      <c r="C1874" s="704" t="s">
        <v>579</v>
      </c>
      <c r="D1874" s="704" t="s">
        <v>533</v>
      </c>
      <c r="E1874" s="704">
        <v>1</v>
      </c>
      <c r="F1874" s="704">
        <v>100</v>
      </c>
      <c r="H1874">
        <f t="shared" si="120"/>
        <v>4613</v>
      </c>
      <c r="I1874" t="str">
        <f t="shared" si="121"/>
        <v>Rest of Qld</v>
      </c>
    </row>
    <row r="1875" spans="1:9" x14ac:dyDescent="0.2">
      <c r="A1875" s="704">
        <v>4614</v>
      </c>
      <c r="B1875" s="704">
        <v>4614</v>
      </c>
      <c r="C1875" s="704" t="s">
        <v>579</v>
      </c>
      <c r="D1875" s="704" t="s">
        <v>533</v>
      </c>
      <c r="E1875" s="704">
        <v>1</v>
      </c>
      <c r="F1875" s="704">
        <v>100</v>
      </c>
      <c r="H1875">
        <f t="shared" si="120"/>
        <v>4614</v>
      </c>
      <c r="I1875" t="str">
        <f t="shared" si="121"/>
        <v>Rest of Qld</v>
      </c>
    </row>
    <row r="1876" spans="1:9" x14ac:dyDescent="0.2">
      <c r="A1876" s="704">
        <v>4615</v>
      </c>
      <c r="B1876" s="704">
        <v>4615</v>
      </c>
      <c r="C1876" s="704" t="s">
        <v>579</v>
      </c>
      <c r="D1876" s="704" t="s">
        <v>533</v>
      </c>
      <c r="E1876" s="704">
        <v>1</v>
      </c>
      <c r="F1876" s="704">
        <v>100</v>
      </c>
      <c r="H1876">
        <f t="shared" si="120"/>
        <v>4615</v>
      </c>
      <c r="I1876" t="str">
        <f t="shared" si="121"/>
        <v>Rest of Qld</v>
      </c>
    </row>
    <row r="1877" spans="1:9" x14ac:dyDescent="0.2">
      <c r="A1877" s="704">
        <v>4620</v>
      </c>
      <c r="B1877" s="704">
        <v>4620</v>
      </c>
      <c r="C1877" s="704" t="s">
        <v>579</v>
      </c>
      <c r="D1877" s="704" t="s">
        <v>533</v>
      </c>
      <c r="E1877" s="704">
        <v>1</v>
      </c>
      <c r="F1877" s="704">
        <v>100</v>
      </c>
      <c r="H1877">
        <f t="shared" si="120"/>
        <v>4620</v>
      </c>
      <c r="I1877" t="str">
        <f t="shared" si="121"/>
        <v>Rest of Qld</v>
      </c>
    </row>
    <row r="1878" spans="1:9" x14ac:dyDescent="0.2">
      <c r="A1878" s="704">
        <v>4621</v>
      </c>
      <c r="B1878" s="704">
        <v>4621</v>
      </c>
      <c r="C1878" s="704" t="s">
        <v>579</v>
      </c>
      <c r="D1878" s="704" t="s">
        <v>533</v>
      </c>
      <c r="E1878" s="704">
        <v>1</v>
      </c>
      <c r="F1878" s="704">
        <v>100</v>
      </c>
      <c r="H1878">
        <f t="shared" si="120"/>
        <v>4621</v>
      </c>
      <c r="I1878" t="str">
        <f t="shared" si="121"/>
        <v>Rest of Qld</v>
      </c>
    </row>
    <row r="1879" spans="1:9" x14ac:dyDescent="0.2">
      <c r="A1879" s="704">
        <v>4625</v>
      </c>
      <c r="B1879" s="704">
        <v>4625</v>
      </c>
      <c r="C1879" s="704" t="s">
        <v>579</v>
      </c>
      <c r="D1879" s="704" t="s">
        <v>533</v>
      </c>
      <c r="E1879" s="704">
        <v>1</v>
      </c>
      <c r="F1879" s="704">
        <v>100</v>
      </c>
      <c r="H1879">
        <f t="shared" si="120"/>
        <v>4625</v>
      </c>
      <c r="I1879" t="str">
        <f t="shared" si="121"/>
        <v>Rest of Qld</v>
      </c>
    </row>
    <row r="1880" spans="1:9" x14ac:dyDescent="0.2">
      <c r="A1880" s="704">
        <v>4626</v>
      </c>
      <c r="B1880" s="704">
        <v>4626</v>
      </c>
      <c r="C1880" s="704" t="s">
        <v>579</v>
      </c>
      <c r="D1880" s="704" t="s">
        <v>533</v>
      </c>
      <c r="E1880" s="704">
        <v>1</v>
      </c>
      <c r="F1880" s="704">
        <v>100</v>
      </c>
      <c r="H1880">
        <f t="shared" si="120"/>
        <v>4626</v>
      </c>
      <c r="I1880" t="str">
        <f t="shared" si="121"/>
        <v>Rest of Qld</v>
      </c>
    </row>
    <row r="1881" spans="1:9" x14ac:dyDescent="0.2">
      <c r="A1881" s="704">
        <v>4627</v>
      </c>
      <c r="B1881" s="704">
        <v>4627</v>
      </c>
      <c r="C1881" s="704" t="s">
        <v>579</v>
      </c>
      <c r="D1881" s="704" t="s">
        <v>533</v>
      </c>
      <c r="E1881" s="704">
        <v>1</v>
      </c>
      <c r="F1881" s="704">
        <v>100</v>
      </c>
      <c r="H1881">
        <f t="shared" si="120"/>
        <v>4627</v>
      </c>
      <c r="I1881" t="str">
        <f t="shared" si="121"/>
        <v>Rest of Qld</v>
      </c>
    </row>
    <row r="1882" spans="1:9" x14ac:dyDescent="0.2">
      <c r="A1882" s="704">
        <v>4630</v>
      </c>
      <c r="B1882" s="704">
        <v>4630</v>
      </c>
      <c r="C1882" s="704" t="s">
        <v>579</v>
      </c>
      <c r="D1882" s="704" t="s">
        <v>533</v>
      </c>
      <c r="E1882" s="704">
        <v>1</v>
      </c>
      <c r="F1882" s="704">
        <v>100</v>
      </c>
      <c r="H1882">
        <f t="shared" si="120"/>
        <v>4630</v>
      </c>
      <c r="I1882" t="str">
        <f t="shared" si="121"/>
        <v>Rest of Qld</v>
      </c>
    </row>
    <row r="1883" spans="1:9" x14ac:dyDescent="0.2">
      <c r="A1883" s="704">
        <v>4650</v>
      </c>
      <c r="B1883" s="704">
        <v>4650</v>
      </c>
      <c r="C1883" s="704" t="s">
        <v>579</v>
      </c>
      <c r="D1883" s="704" t="s">
        <v>533</v>
      </c>
      <c r="E1883" s="704">
        <v>0.99946900000000005</v>
      </c>
      <c r="F1883" s="704">
        <v>99.946899999999999</v>
      </c>
      <c r="H1883">
        <f t="shared" si="120"/>
        <v>4650</v>
      </c>
      <c r="I1883" t="str">
        <f t="shared" si="121"/>
        <v>Rest of Qld</v>
      </c>
    </row>
    <row r="1884" spans="1:9" x14ac:dyDescent="0.2">
      <c r="A1884" s="704">
        <v>4655</v>
      </c>
      <c r="B1884" s="704">
        <v>4655</v>
      </c>
      <c r="C1884" s="704" t="s">
        <v>579</v>
      </c>
      <c r="D1884" s="704" t="s">
        <v>533</v>
      </c>
      <c r="E1884" s="704">
        <v>0.99859399999999998</v>
      </c>
      <c r="F1884" s="704">
        <v>99.859399999999994</v>
      </c>
      <c r="H1884">
        <f t="shared" si="120"/>
        <v>4655</v>
      </c>
      <c r="I1884" t="str">
        <f t="shared" si="121"/>
        <v>Rest of Qld</v>
      </c>
    </row>
    <row r="1885" spans="1:9" x14ac:dyDescent="0.2">
      <c r="A1885" s="704">
        <v>4659</v>
      </c>
      <c r="B1885" s="704">
        <v>4659</v>
      </c>
      <c r="C1885" s="704" t="s">
        <v>579</v>
      </c>
      <c r="D1885" s="704" t="s">
        <v>533</v>
      </c>
      <c r="E1885" s="704">
        <v>0.99271699999999996</v>
      </c>
      <c r="F1885" s="704">
        <v>99.271699999999996</v>
      </c>
      <c r="H1885">
        <f t="shared" si="120"/>
        <v>4659</v>
      </c>
      <c r="I1885" t="str">
        <f t="shared" si="121"/>
        <v>Rest of Qld</v>
      </c>
    </row>
    <row r="1886" spans="1:9" x14ac:dyDescent="0.2">
      <c r="A1886" s="704">
        <v>4660</v>
      </c>
      <c r="B1886" s="704">
        <v>4660</v>
      </c>
      <c r="C1886" s="704" t="s">
        <v>579</v>
      </c>
      <c r="D1886" s="704" t="s">
        <v>533</v>
      </c>
      <c r="E1886" s="704">
        <v>0.99999499999999997</v>
      </c>
      <c r="F1886" s="704">
        <v>99.999499999999998</v>
      </c>
      <c r="H1886">
        <f t="shared" si="120"/>
        <v>4660</v>
      </c>
      <c r="I1886" t="str">
        <f t="shared" si="121"/>
        <v>Rest of Qld</v>
      </c>
    </row>
    <row r="1887" spans="1:9" x14ac:dyDescent="0.2">
      <c r="A1887" s="704">
        <v>4662</v>
      </c>
      <c r="B1887" s="704">
        <v>4662</v>
      </c>
      <c r="C1887" s="704" t="s">
        <v>579</v>
      </c>
      <c r="D1887" s="704" t="s">
        <v>533</v>
      </c>
      <c r="E1887" s="704">
        <v>1</v>
      </c>
      <c r="F1887" s="704">
        <v>100</v>
      </c>
      <c r="H1887">
        <f t="shared" si="120"/>
        <v>4662</v>
      </c>
      <c r="I1887" t="str">
        <f t="shared" si="121"/>
        <v>Rest of Qld</v>
      </c>
    </row>
    <row r="1888" spans="1:9" x14ac:dyDescent="0.2">
      <c r="A1888" s="704">
        <v>4670</v>
      </c>
      <c r="B1888" s="704">
        <v>4670</v>
      </c>
      <c r="C1888" s="704" t="s">
        <v>579</v>
      </c>
      <c r="D1888" s="704" t="s">
        <v>533</v>
      </c>
      <c r="E1888" s="704">
        <v>0.99923200000000001</v>
      </c>
      <c r="F1888" s="704">
        <v>99.923199999999994</v>
      </c>
      <c r="H1888">
        <f t="shared" si="120"/>
        <v>4670</v>
      </c>
      <c r="I1888" t="str">
        <f t="shared" si="121"/>
        <v>Rest of Qld</v>
      </c>
    </row>
    <row r="1889" spans="1:9" x14ac:dyDescent="0.2">
      <c r="A1889" s="704">
        <v>4671</v>
      </c>
      <c r="B1889" s="704">
        <v>4671</v>
      </c>
      <c r="C1889" s="704" t="s">
        <v>579</v>
      </c>
      <c r="D1889" s="704" t="s">
        <v>533</v>
      </c>
      <c r="E1889" s="704">
        <v>1</v>
      </c>
      <c r="F1889" s="704">
        <v>100</v>
      </c>
      <c r="H1889">
        <f t="shared" si="120"/>
        <v>4671</v>
      </c>
      <c r="I1889" t="str">
        <f t="shared" si="121"/>
        <v>Rest of Qld</v>
      </c>
    </row>
    <row r="1890" spans="1:9" x14ac:dyDescent="0.2">
      <c r="A1890" s="704">
        <v>4673</v>
      </c>
      <c r="B1890" s="704">
        <v>4673</v>
      </c>
      <c r="C1890" s="704" t="s">
        <v>579</v>
      </c>
      <c r="D1890" s="704" t="s">
        <v>533</v>
      </c>
      <c r="E1890" s="704">
        <v>1</v>
      </c>
      <c r="F1890" s="704">
        <v>100</v>
      </c>
      <c r="H1890">
        <f t="shared" si="120"/>
        <v>4673</v>
      </c>
      <c r="I1890" t="str">
        <f t="shared" si="121"/>
        <v>Rest of Qld</v>
      </c>
    </row>
    <row r="1891" spans="1:9" x14ac:dyDescent="0.2">
      <c r="A1891" s="704">
        <v>4674</v>
      </c>
      <c r="B1891" s="704">
        <v>4674</v>
      </c>
      <c r="C1891" s="704" t="s">
        <v>579</v>
      </c>
      <c r="D1891" s="704" t="s">
        <v>533</v>
      </c>
      <c r="E1891" s="704">
        <v>0.99999800000000005</v>
      </c>
      <c r="F1891" s="704">
        <v>99.999799999999993</v>
      </c>
      <c r="H1891">
        <f t="shared" si="120"/>
        <v>4674</v>
      </c>
      <c r="I1891" t="str">
        <f t="shared" si="121"/>
        <v>Rest of Qld</v>
      </c>
    </row>
    <row r="1892" spans="1:9" x14ac:dyDescent="0.2">
      <c r="A1892" s="704">
        <v>4676</v>
      </c>
      <c r="B1892" s="704">
        <v>4676</v>
      </c>
      <c r="C1892" s="704" t="s">
        <v>579</v>
      </c>
      <c r="D1892" s="704" t="s">
        <v>533</v>
      </c>
      <c r="E1892" s="704">
        <v>1</v>
      </c>
      <c r="F1892" s="704">
        <v>100</v>
      </c>
      <c r="H1892">
        <f t="shared" si="120"/>
        <v>4676</v>
      </c>
      <c r="I1892" t="str">
        <f t="shared" si="121"/>
        <v>Rest of Qld</v>
      </c>
    </row>
    <row r="1893" spans="1:9" x14ac:dyDescent="0.2">
      <c r="A1893" s="704">
        <v>4677</v>
      </c>
      <c r="B1893" s="704">
        <v>4677</v>
      </c>
      <c r="C1893" s="704" t="s">
        <v>579</v>
      </c>
      <c r="D1893" s="704" t="s">
        <v>533</v>
      </c>
      <c r="E1893" s="704">
        <v>0.99901899999999999</v>
      </c>
      <c r="F1893" s="704">
        <v>99.901899999999998</v>
      </c>
      <c r="H1893">
        <f t="shared" si="120"/>
        <v>4677</v>
      </c>
      <c r="I1893" t="str">
        <f t="shared" si="121"/>
        <v>Rest of Qld</v>
      </c>
    </row>
    <row r="1894" spans="1:9" x14ac:dyDescent="0.2">
      <c r="A1894" s="704">
        <v>4678</v>
      </c>
      <c r="B1894" s="704">
        <v>4678</v>
      </c>
      <c r="C1894" s="704" t="s">
        <v>579</v>
      </c>
      <c r="D1894" s="704" t="s">
        <v>533</v>
      </c>
      <c r="E1894" s="704">
        <v>0.99886799999999998</v>
      </c>
      <c r="F1894" s="704">
        <v>99.886799999999994</v>
      </c>
      <c r="H1894">
        <f t="shared" si="120"/>
        <v>4678</v>
      </c>
      <c r="I1894" t="str">
        <f t="shared" si="121"/>
        <v>Rest of Qld</v>
      </c>
    </row>
    <row r="1895" spans="1:9" x14ac:dyDescent="0.2">
      <c r="A1895" s="704">
        <v>4680</v>
      </c>
      <c r="B1895" s="704">
        <v>4680</v>
      </c>
      <c r="C1895" s="704" t="s">
        <v>579</v>
      </c>
      <c r="D1895" s="704" t="s">
        <v>533</v>
      </c>
      <c r="E1895" s="704">
        <v>0.99931000000000003</v>
      </c>
      <c r="F1895" s="704">
        <v>99.930999999999997</v>
      </c>
      <c r="H1895">
        <f t="shared" si="120"/>
        <v>4680</v>
      </c>
      <c r="I1895" t="str">
        <f t="shared" si="121"/>
        <v>Rest of Qld</v>
      </c>
    </row>
    <row r="1896" spans="1:9" x14ac:dyDescent="0.2">
      <c r="A1896" s="704">
        <v>4694</v>
      </c>
      <c r="B1896" s="704">
        <v>4694</v>
      </c>
      <c r="C1896" s="704" t="s">
        <v>579</v>
      </c>
      <c r="D1896" s="704" t="s">
        <v>533</v>
      </c>
      <c r="E1896" s="704">
        <v>1</v>
      </c>
      <c r="F1896" s="704">
        <v>100</v>
      </c>
      <c r="H1896">
        <f t="shared" si="120"/>
        <v>4694</v>
      </c>
      <c r="I1896" t="str">
        <f t="shared" si="121"/>
        <v>Rest of Qld</v>
      </c>
    </row>
    <row r="1897" spans="1:9" x14ac:dyDescent="0.2">
      <c r="A1897" s="704">
        <v>4695</v>
      </c>
      <c r="B1897" s="704">
        <v>4695</v>
      </c>
      <c r="C1897" s="704" t="s">
        <v>579</v>
      </c>
      <c r="D1897" s="704" t="s">
        <v>533</v>
      </c>
      <c r="E1897" s="704">
        <v>1</v>
      </c>
      <c r="F1897" s="704">
        <v>100</v>
      </c>
      <c r="H1897">
        <f t="shared" si="120"/>
        <v>4695</v>
      </c>
      <c r="I1897" t="str">
        <f t="shared" si="121"/>
        <v>Rest of Qld</v>
      </c>
    </row>
    <row r="1898" spans="1:9" x14ac:dyDescent="0.2">
      <c r="A1898" s="704">
        <v>4697</v>
      </c>
      <c r="B1898" s="704">
        <v>4697</v>
      </c>
      <c r="C1898" s="704" t="s">
        <v>579</v>
      </c>
      <c r="D1898" s="704" t="s">
        <v>533</v>
      </c>
      <c r="E1898" s="704">
        <v>1</v>
      </c>
      <c r="F1898" s="704">
        <v>100</v>
      </c>
      <c r="H1898">
        <f t="shared" si="120"/>
        <v>4697</v>
      </c>
      <c r="I1898" t="str">
        <f t="shared" si="121"/>
        <v>Rest of Qld</v>
      </c>
    </row>
    <row r="1899" spans="1:9" x14ac:dyDescent="0.2">
      <c r="A1899" s="704">
        <v>4699</v>
      </c>
      <c r="B1899" s="704">
        <v>4699</v>
      </c>
      <c r="C1899" s="704" t="s">
        <v>579</v>
      </c>
      <c r="D1899" s="704" t="s">
        <v>533</v>
      </c>
      <c r="E1899" s="704">
        <v>1</v>
      </c>
      <c r="F1899" s="704">
        <v>100</v>
      </c>
      <c r="H1899">
        <f t="shared" si="120"/>
        <v>4699</v>
      </c>
      <c r="I1899" t="str">
        <f t="shared" si="121"/>
        <v>Rest of Qld</v>
      </c>
    </row>
    <row r="1900" spans="1:9" x14ac:dyDescent="0.2">
      <c r="A1900" s="704">
        <v>4700</v>
      </c>
      <c r="B1900" s="704">
        <v>4700</v>
      </c>
      <c r="C1900" s="704" t="s">
        <v>579</v>
      </c>
      <c r="D1900" s="704" t="s">
        <v>533</v>
      </c>
      <c r="E1900" s="704">
        <v>1</v>
      </c>
      <c r="F1900" s="704">
        <v>100</v>
      </c>
      <c r="H1900">
        <f t="shared" si="120"/>
        <v>4700</v>
      </c>
      <c r="I1900" t="str">
        <f t="shared" si="121"/>
        <v>Rest of Qld</v>
      </c>
    </row>
    <row r="1901" spans="1:9" x14ac:dyDescent="0.2">
      <c r="A1901" s="704">
        <v>4701</v>
      </c>
      <c r="B1901" s="704">
        <v>4701</v>
      </c>
      <c r="C1901" s="704" t="s">
        <v>579</v>
      </c>
      <c r="D1901" s="704" t="s">
        <v>533</v>
      </c>
      <c r="E1901" s="704">
        <v>1</v>
      </c>
      <c r="F1901" s="704">
        <v>100</v>
      </c>
      <c r="H1901">
        <f t="shared" si="120"/>
        <v>4701</v>
      </c>
      <c r="I1901" t="str">
        <f t="shared" si="121"/>
        <v>Rest of Qld</v>
      </c>
    </row>
    <row r="1902" spans="1:9" x14ac:dyDescent="0.2">
      <c r="A1902" s="704">
        <v>4702</v>
      </c>
      <c r="B1902" s="704">
        <v>4702</v>
      </c>
      <c r="C1902" s="704" t="s">
        <v>579</v>
      </c>
      <c r="D1902" s="704" t="s">
        <v>533</v>
      </c>
      <c r="E1902" s="704">
        <v>0.99998399999999998</v>
      </c>
      <c r="F1902" s="704">
        <v>99.998400000000004</v>
      </c>
      <c r="H1902">
        <f t="shared" si="120"/>
        <v>4702</v>
      </c>
      <c r="I1902" t="str">
        <f t="shared" si="121"/>
        <v>Rest of Qld</v>
      </c>
    </row>
    <row r="1903" spans="1:9" x14ac:dyDescent="0.2">
      <c r="A1903" s="704">
        <v>4703</v>
      </c>
      <c r="B1903" s="704">
        <v>4703</v>
      </c>
      <c r="C1903" s="704" t="s">
        <v>579</v>
      </c>
      <c r="D1903" s="704" t="s">
        <v>533</v>
      </c>
      <c r="E1903" s="704">
        <v>1</v>
      </c>
      <c r="F1903" s="704">
        <v>100</v>
      </c>
      <c r="H1903">
        <f t="shared" si="120"/>
        <v>4703</v>
      </c>
      <c r="I1903" t="str">
        <f t="shared" si="121"/>
        <v>Rest of Qld</v>
      </c>
    </row>
    <row r="1904" spans="1:9" x14ac:dyDescent="0.2">
      <c r="A1904" s="704">
        <v>4704</v>
      </c>
      <c r="B1904" s="704">
        <v>4704</v>
      </c>
      <c r="C1904" s="704" t="s">
        <v>579</v>
      </c>
      <c r="D1904" s="704" t="s">
        <v>533</v>
      </c>
      <c r="E1904" s="704">
        <v>1</v>
      </c>
      <c r="F1904" s="704">
        <v>100</v>
      </c>
      <c r="H1904">
        <f t="shared" si="120"/>
        <v>4704</v>
      </c>
      <c r="I1904" t="str">
        <f t="shared" si="121"/>
        <v>Rest of Qld</v>
      </c>
    </row>
    <row r="1905" spans="1:9" x14ac:dyDescent="0.2">
      <c r="A1905" s="704">
        <v>4705</v>
      </c>
      <c r="B1905" s="704">
        <v>4705</v>
      </c>
      <c r="C1905" s="704" t="s">
        <v>579</v>
      </c>
      <c r="D1905" s="704" t="s">
        <v>533</v>
      </c>
      <c r="E1905" s="704">
        <v>1</v>
      </c>
      <c r="F1905" s="704">
        <v>100</v>
      </c>
      <c r="H1905">
        <f t="shared" si="120"/>
        <v>4705</v>
      </c>
      <c r="I1905" t="str">
        <f t="shared" si="121"/>
        <v>Rest of Qld</v>
      </c>
    </row>
    <row r="1906" spans="1:9" x14ac:dyDescent="0.2">
      <c r="A1906" s="704">
        <v>4706</v>
      </c>
      <c r="B1906" s="704">
        <v>4706</v>
      </c>
      <c r="C1906" s="704" t="s">
        <v>579</v>
      </c>
      <c r="D1906" s="704" t="s">
        <v>533</v>
      </c>
      <c r="E1906" s="704">
        <v>1</v>
      </c>
      <c r="F1906" s="704">
        <v>100</v>
      </c>
      <c r="H1906">
        <f t="shared" si="120"/>
        <v>4706</v>
      </c>
      <c r="I1906" t="str">
        <f t="shared" si="121"/>
        <v>Rest of Qld</v>
      </c>
    </row>
    <row r="1907" spans="1:9" x14ac:dyDescent="0.2">
      <c r="A1907" s="704">
        <v>4707</v>
      </c>
      <c r="B1907" s="704">
        <v>4707</v>
      </c>
      <c r="C1907" s="704" t="s">
        <v>579</v>
      </c>
      <c r="D1907" s="704" t="s">
        <v>533</v>
      </c>
      <c r="E1907" s="704">
        <v>1</v>
      </c>
      <c r="F1907" s="704">
        <v>100</v>
      </c>
      <c r="H1907">
        <f t="shared" si="120"/>
        <v>4707</v>
      </c>
      <c r="I1907" t="str">
        <f t="shared" si="121"/>
        <v>Rest of Qld</v>
      </c>
    </row>
    <row r="1908" spans="1:9" x14ac:dyDescent="0.2">
      <c r="A1908" s="704">
        <v>4709</v>
      </c>
      <c r="B1908" s="704">
        <v>4709</v>
      </c>
      <c r="C1908" s="704" t="s">
        <v>579</v>
      </c>
      <c r="D1908" s="704" t="s">
        <v>533</v>
      </c>
      <c r="E1908" s="704">
        <v>1</v>
      </c>
      <c r="F1908" s="704">
        <v>100</v>
      </c>
      <c r="H1908">
        <f t="shared" si="120"/>
        <v>4709</v>
      </c>
      <c r="I1908" t="str">
        <f t="shared" si="121"/>
        <v>Rest of Qld</v>
      </c>
    </row>
    <row r="1909" spans="1:9" x14ac:dyDescent="0.2">
      <c r="A1909" s="704">
        <v>4710</v>
      </c>
      <c r="B1909" s="704">
        <v>4710</v>
      </c>
      <c r="C1909" s="704" t="s">
        <v>579</v>
      </c>
      <c r="D1909" s="704" t="s">
        <v>533</v>
      </c>
      <c r="E1909" s="704">
        <v>0.99817299999999998</v>
      </c>
      <c r="F1909" s="704">
        <v>99.817300000000003</v>
      </c>
      <c r="H1909">
        <f t="shared" si="120"/>
        <v>4710</v>
      </c>
      <c r="I1909" t="str">
        <f t="shared" si="121"/>
        <v>Rest of Qld</v>
      </c>
    </row>
    <row r="1910" spans="1:9" x14ac:dyDescent="0.2">
      <c r="A1910" s="704">
        <v>4711</v>
      </c>
      <c r="B1910" s="704">
        <v>4711</v>
      </c>
      <c r="C1910" s="704" t="s">
        <v>579</v>
      </c>
      <c r="D1910" s="704" t="s">
        <v>533</v>
      </c>
      <c r="E1910" s="704">
        <v>1</v>
      </c>
      <c r="F1910" s="704">
        <v>100</v>
      </c>
      <c r="H1910">
        <f t="shared" si="120"/>
        <v>4711</v>
      </c>
      <c r="I1910" t="str">
        <f t="shared" si="121"/>
        <v>Rest of Qld</v>
      </c>
    </row>
    <row r="1911" spans="1:9" x14ac:dyDescent="0.2">
      <c r="A1911" s="704">
        <v>4712</v>
      </c>
      <c r="B1911" s="704">
        <v>4712</v>
      </c>
      <c r="C1911" s="704" t="s">
        <v>579</v>
      </c>
      <c r="D1911" s="704" t="s">
        <v>533</v>
      </c>
      <c r="E1911" s="704">
        <v>1</v>
      </c>
      <c r="F1911" s="704">
        <v>100</v>
      </c>
      <c r="H1911">
        <f t="shared" si="120"/>
        <v>4712</v>
      </c>
      <c r="I1911" t="str">
        <f t="shared" si="121"/>
        <v>Rest of Qld</v>
      </c>
    </row>
    <row r="1912" spans="1:9" x14ac:dyDescent="0.2">
      <c r="A1912" s="704">
        <v>4713</v>
      </c>
      <c r="B1912" s="704">
        <v>4713</v>
      </c>
      <c r="C1912" s="704" t="s">
        <v>579</v>
      </c>
      <c r="D1912" s="704" t="s">
        <v>533</v>
      </c>
      <c r="E1912" s="704">
        <v>1</v>
      </c>
      <c r="F1912" s="704">
        <v>100</v>
      </c>
      <c r="H1912">
        <f t="shared" si="120"/>
        <v>4713</v>
      </c>
      <c r="I1912" t="str">
        <f t="shared" si="121"/>
        <v>Rest of Qld</v>
      </c>
    </row>
    <row r="1913" spans="1:9" x14ac:dyDescent="0.2">
      <c r="A1913" s="704">
        <v>4714</v>
      </c>
      <c r="B1913" s="704">
        <v>4714</v>
      </c>
      <c r="C1913" s="704" t="s">
        <v>579</v>
      </c>
      <c r="D1913" s="704" t="s">
        <v>533</v>
      </c>
      <c r="E1913" s="704">
        <v>1</v>
      </c>
      <c r="F1913" s="704">
        <v>100</v>
      </c>
      <c r="H1913">
        <f t="shared" ref="H1913:H1976" si="122">A1913*1</f>
        <v>4714</v>
      </c>
      <c r="I1913" t="str">
        <f t="shared" ref="I1913:I1976" si="123">D1913</f>
        <v>Rest of Qld</v>
      </c>
    </row>
    <row r="1914" spans="1:9" x14ac:dyDescent="0.2">
      <c r="A1914" s="704">
        <v>4715</v>
      </c>
      <c r="B1914" s="704">
        <v>4715</v>
      </c>
      <c r="C1914" s="704" t="s">
        <v>579</v>
      </c>
      <c r="D1914" s="704" t="s">
        <v>533</v>
      </c>
      <c r="E1914" s="704">
        <v>1</v>
      </c>
      <c r="F1914" s="704">
        <v>100</v>
      </c>
      <c r="H1914">
        <f t="shared" si="122"/>
        <v>4715</v>
      </c>
      <c r="I1914" t="str">
        <f t="shared" si="123"/>
        <v>Rest of Qld</v>
      </c>
    </row>
    <row r="1915" spans="1:9" x14ac:dyDescent="0.2">
      <c r="A1915" s="704">
        <v>4716</v>
      </c>
      <c r="B1915" s="704">
        <v>4716</v>
      </c>
      <c r="C1915" s="704" t="s">
        <v>579</v>
      </c>
      <c r="D1915" s="704" t="s">
        <v>533</v>
      </c>
      <c r="E1915" s="704">
        <v>1</v>
      </c>
      <c r="F1915" s="704">
        <v>100</v>
      </c>
      <c r="H1915">
        <f t="shared" si="122"/>
        <v>4716</v>
      </c>
      <c r="I1915" t="str">
        <f t="shared" si="123"/>
        <v>Rest of Qld</v>
      </c>
    </row>
    <row r="1916" spans="1:9" x14ac:dyDescent="0.2">
      <c r="A1916" s="704">
        <v>4717</v>
      </c>
      <c r="B1916" s="704">
        <v>4717</v>
      </c>
      <c r="C1916" s="704" t="s">
        <v>579</v>
      </c>
      <c r="D1916" s="704" t="s">
        <v>533</v>
      </c>
      <c r="E1916" s="704">
        <v>1</v>
      </c>
      <c r="F1916" s="704">
        <v>100</v>
      </c>
      <c r="H1916">
        <f t="shared" si="122"/>
        <v>4717</v>
      </c>
      <c r="I1916" t="str">
        <f t="shared" si="123"/>
        <v>Rest of Qld</v>
      </c>
    </row>
    <row r="1917" spans="1:9" x14ac:dyDescent="0.2">
      <c r="A1917" s="704">
        <v>4718</v>
      </c>
      <c r="B1917" s="704">
        <v>4718</v>
      </c>
      <c r="C1917" s="704" t="s">
        <v>579</v>
      </c>
      <c r="D1917" s="704" t="s">
        <v>533</v>
      </c>
      <c r="E1917" s="704">
        <v>1</v>
      </c>
      <c r="F1917" s="704">
        <v>100</v>
      </c>
      <c r="H1917">
        <f t="shared" si="122"/>
        <v>4718</v>
      </c>
      <c r="I1917" t="str">
        <f t="shared" si="123"/>
        <v>Rest of Qld</v>
      </c>
    </row>
    <row r="1918" spans="1:9" x14ac:dyDescent="0.2">
      <c r="A1918" s="704">
        <v>4719</v>
      </c>
      <c r="B1918" s="704">
        <v>4719</v>
      </c>
      <c r="C1918" s="704" t="s">
        <v>579</v>
      </c>
      <c r="D1918" s="704" t="s">
        <v>533</v>
      </c>
      <c r="E1918" s="704">
        <v>1</v>
      </c>
      <c r="F1918" s="704">
        <v>100</v>
      </c>
      <c r="H1918">
        <f t="shared" si="122"/>
        <v>4719</v>
      </c>
      <c r="I1918" t="str">
        <f t="shared" si="123"/>
        <v>Rest of Qld</v>
      </c>
    </row>
    <row r="1919" spans="1:9" x14ac:dyDescent="0.2">
      <c r="A1919" s="704">
        <v>4720</v>
      </c>
      <c r="B1919" s="704">
        <v>4720</v>
      </c>
      <c r="C1919" s="704" t="s">
        <v>579</v>
      </c>
      <c r="D1919" s="704" t="s">
        <v>533</v>
      </c>
      <c r="E1919" s="704">
        <v>1</v>
      </c>
      <c r="F1919" s="704">
        <v>100</v>
      </c>
      <c r="H1919">
        <f t="shared" si="122"/>
        <v>4720</v>
      </c>
      <c r="I1919" t="str">
        <f t="shared" si="123"/>
        <v>Rest of Qld</v>
      </c>
    </row>
    <row r="1920" spans="1:9" x14ac:dyDescent="0.2">
      <c r="A1920" s="704">
        <v>4721</v>
      </c>
      <c r="B1920" s="704">
        <v>4721</v>
      </c>
      <c r="C1920" s="704" t="s">
        <v>579</v>
      </c>
      <c r="D1920" s="704" t="s">
        <v>533</v>
      </c>
      <c r="E1920" s="704">
        <v>1</v>
      </c>
      <c r="F1920" s="704">
        <v>100</v>
      </c>
      <c r="H1920">
        <f t="shared" si="122"/>
        <v>4721</v>
      </c>
      <c r="I1920" t="str">
        <f t="shared" si="123"/>
        <v>Rest of Qld</v>
      </c>
    </row>
    <row r="1921" spans="1:9" x14ac:dyDescent="0.2">
      <c r="A1921" s="704">
        <v>4722</v>
      </c>
      <c r="B1921" s="704">
        <v>4722</v>
      </c>
      <c r="C1921" s="704" t="s">
        <v>579</v>
      </c>
      <c r="D1921" s="704" t="s">
        <v>533</v>
      </c>
      <c r="E1921" s="704">
        <v>1</v>
      </c>
      <c r="F1921" s="704">
        <v>100</v>
      </c>
      <c r="H1921">
        <f t="shared" si="122"/>
        <v>4722</v>
      </c>
      <c r="I1921" t="str">
        <f t="shared" si="123"/>
        <v>Rest of Qld</v>
      </c>
    </row>
    <row r="1922" spans="1:9" x14ac:dyDescent="0.2">
      <c r="A1922" s="704">
        <v>4723</v>
      </c>
      <c r="B1922" s="704">
        <v>4723</v>
      </c>
      <c r="C1922" s="704" t="s">
        <v>579</v>
      </c>
      <c r="D1922" s="704" t="s">
        <v>533</v>
      </c>
      <c r="E1922" s="704">
        <v>1</v>
      </c>
      <c r="F1922" s="704">
        <v>100</v>
      </c>
      <c r="H1922">
        <f t="shared" si="122"/>
        <v>4723</v>
      </c>
      <c r="I1922" t="str">
        <f t="shared" si="123"/>
        <v>Rest of Qld</v>
      </c>
    </row>
    <row r="1923" spans="1:9" x14ac:dyDescent="0.2">
      <c r="A1923" s="704">
        <v>4724</v>
      </c>
      <c r="B1923" s="704">
        <v>4724</v>
      </c>
      <c r="C1923" s="704" t="s">
        <v>579</v>
      </c>
      <c r="D1923" s="704" t="s">
        <v>533</v>
      </c>
      <c r="E1923" s="704">
        <v>1</v>
      </c>
      <c r="F1923" s="704">
        <v>100</v>
      </c>
      <c r="H1923">
        <f t="shared" si="122"/>
        <v>4724</v>
      </c>
      <c r="I1923" t="str">
        <f t="shared" si="123"/>
        <v>Rest of Qld</v>
      </c>
    </row>
    <row r="1924" spans="1:9" x14ac:dyDescent="0.2">
      <c r="A1924" s="704">
        <v>4725</v>
      </c>
      <c r="B1924" s="704">
        <v>4725</v>
      </c>
      <c r="C1924" s="704" t="s">
        <v>579</v>
      </c>
      <c r="D1924" s="704" t="s">
        <v>533</v>
      </c>
      <c r="E1924" s="704">
        <v>1</v>
      </c>
      <c r="F1924" s="704">
        <v>100</v>
      </c>
      <c r="H1924">
        <f t="shared" si="122"/>
        <v>4725</v>
      </c>
      <c r="I1924" t="str">
        <f t="shared" si="123"/>
        <v>Rest of Qld</v>
      </c>
    </row>
    <row r="1925" spans="1:9" x14ac:dyDescent="0.2">
      <c r="A1925" s="704">
        <v>4726</v>
      </c>
      <c r="B1925" s="704">
        <v>4726</v>
      </c>
      <c r="C1925" s="704" t="s">
        <v>579</v>
      </c>
      <c r="D1925" s="704" t="s">
        <v>533</v>
      </c>
      <c r="E1925" s="704">
        <v>1</v>
      </c>
      <c r="F1925" s="704">
        <v>100</v>
      </c>
      <c r="H1925">
        <f t="shared" si="122"/>
        <v>4726</v>
      </c>
      <c r="I1925" t="str">
        <f t="shared" si="123"/>
        <v>Rest of Qld</v>
      </c>
    </row>
    <row r="1926" spans="1:9" x14ac:dyDescent="0.2">
      <c r="A1926" s="704">
        <v>4727</v>
      </c>
      <c r="B1926" s="704">
        <v>4727</v>
      </c>
      <c r="C1926" s="704" t="s">
        <v>579</v>
      </c>
      <c r="D1926" s="704" t="s">
        <v>533</v>
      </c>
      <c r="E1926" s="704">
        <v>1</v>
      </c>
      <c r="F1926" s="704">
        <v>100</v>
      </c>
      <c r="H1926">
        <f t="shared" si="122"/>
        <v>4727</v>
      </c>
      <c r="I1926" t="str">
        <f t="shared" si="123"/>
        <v>Rest of Qld</v>
      </c>
    </row>
    <row r="1927" spans="1:9" x14ac:dyDescent="0.2">
      <c r="A1927" s="704">
        <v>4728</v>
      </c>
      <c r="B1927" s="704">
        <v>4728</v>
      </c>
      <c r="C1927" s="704" t="s">
        <v>579</v>
      </c>
      <c r="D1927" s="704" t="s">
        <v>533</v>
      </c>
      <c r="E1927" s="704">
        <v>1</v>
      </c>
      <c r="F1927" s="704">
        <v>100</v>
      </c>
      <c r="H1927">
        <f t="shared" si="122"/>
        <v>4728</v>
      </c>
      <c r="I1927" t="str">
        <f t="shared" si="123"/>
        <v>Rest of Qld</v>
      </c>
    </row>
    <row r="1928" spans="1:9" x14ac:dyDescent="0.2">
      <c r="A1928" s="704">
        <v>4730</v>
      </c>
      <c r="B1928" s="704">
        <v>4730</v>
      </c>
      <c r="C1928" s="704" t="s">
        <v>579</v>
      </c>
      <c r="D1928" s="704" t="s">
        <v>533</v>
      </c>
      <c r="E1928" s="704">
        <v>1</v>
      </c>
      <c r="F1928" s="704">
        <v>100</v>
      </c>
      <c r="H1928">
        <f t="shared" si="122"/>
        <v>4730</v>
      </c>
      <c r="I1928" t="str">
        <f t="shared" si="123"/>
        <v>Rest of Qld</v>
      </c>
    </row>
    <row r="1929" spans="1:9" x14ac:dyDescent="0.2">
      <c r="A1929" s="704">
        <v>4731</v>
      </c>
      <c r="B1929" s="704">
        <v>4731</v>
      </c>
      <c r="C1929" s="704" t="s">
        <v>579</v>
      </c>
      <c r="D1929" s="704" t="s">
        <v>533</v>
      </c>
      <c r="E1929" s="704">
        <v>1</v>
      </c>
      <c r="F1929" s="704">
        <v>100</v>
      </c>
      <c r="H1929">
        <f t="shared" si="122"/>
        <v>4731</v>
      </c>
      <c r="I1929" t="str">
        <f t="shared" si="123"/>
        <v>Rest of Qld</v>
      </c>
    </row>
    <row r="1930" spans="1:9" x14ac:dyDescent="0.2">
      <c r="A1930" s="704">
        <v>4732</v>
      </c>
      <c r="B1930" s="704">
        <v>4732</v>
      </c>
      <c r="C1930" s="704" t="s">
        <v>579</v>
      </c>
      <c r="D1930" s="704" t="s">
        <v>533</v>
      </c>
      <c r="E1930" s="704">
        <v>1</v>
      </c>
      <c r="F1930" s="704">
        <v>100</v>
      </c>
      <c r="H1930">
        <f t="shared" si="122"/>
        <v>4732</v>
      </c>
      <c r="I1930" t="str">
        <f t="shared" si="123"/>
        <v>Rest of Qld</v>
      </c>
    </row>
    <row r="1931" spans="1:9" x14ac:dyDescent="0.2">
      <c r="A1931" s="704">
        <v>4733</v>
      </c>
      <c r="B1931" s="704">
        <v>4733</v>
      </c>
      <c r="C1931" s="704" t="s">
        <v>579</v>
      </c>
      <c r="D1931" s="704" t="s">
        <v>533</v>
      </c>
      <c r="E1931" s="704">
        <v>1</v>
      </c>
      <c r="F1931" s="704">
        <v>100</v>
      </c>
      <c r="H1931">
        <f t="shared" si="122"/>
        <v>4733</v>
      </c>
      <c r="I1931" t="str">
        <f t="shared" si="123"/>
        <v>Rest of Qld</v>
      </c>
    </row>
    <row r="1932" spans="1:9" x14ac:dyDescent="0.2">
      <c r="A1932" s="704">
        <v>4735</v>
      </c>
      <c r="B1932" s="704">
        <v>4735</v>
      </c>
      <c r="C1932" s="704" t="s">
        <v>579</v>
      </c>
      <c r="D1932" s="704" t="s">
        <v>533</v>
      </c>
      <c r="E1932" s="704">
        <v>1</v>
      </c>
      <c r="F1932" s="704">
        <v>100</v>
      </c>
      <c r="H1932">
        <f t="shared" si="122"/>
        <v>4735</v>
      </c>
      <c r="I1932" t="str">
        <f t="shared" si="123"/>
        <v>Rest of Qld</v>
      </c>
    </row>
    <row r="1933" spans="1:9" x14ac:dyDescent="0.2">
      <c r="A1933" s="704">
        <v>4736</v>
      </c>
      <c r="B1933" s="704">
        <v>4736</v>
      </c>
      <c r="C1933" s="704" t="s">
        <v>579</v>
      </c>
      <c r="D1933" s="704" t="s">
        <v>533</v>
      </c>
      <c r="E1933" s="704">
        <v>1</v>
      </c>
      <c r="F1933" s="704">
        <v>100</v>
      </c>
      <c r="H1933">
        <f t="shared" si="122"/>
        <v>4736</v>
      </c>
      <c r="I1933" t="str">
        <f t="shared" si="123"/>
        <v>Rest of Qld</v>
      </c>
    </row>
    <row r="1934" spans="1:9" x14ac:dyDescent="0.2">
      <c r="A1934" s="704">
        <v>4737</v>
      </c>
      <c r="B1934" s="704">
        <v>4737</v>
      </c>
      <c r="C1934" s="704" t="s">
        <v>579</v>
      </c>
      <c r="D1934" s="704" t="s">
        <v>533</v>
      </c>
      <c r="E1934" s="704">
        <v>0.99688100000000002</v>
      </c>
      <c r="F1934" s="704">
        <v>99.688199999999995</v>
      </c>
      <c r="H1934">
        <f t="shared" si="122"/>
        <v>4737</v>
      </c>
      <c r="I1934" t="str">
        <f t="shared" si="123"/>
        <v>Rest of Qld</v>
      </c>
    </row>
    <row r="1935" spans="1:9" x14ac:dyDescent="0.2">
      <c r="A1935" s="704">
        <v>4738</v>
      </c>
      <c r="B1935" s="704">
        <v>4738</v>
      </c>
      <c r="C1935" s="704" t="s">
        <v>579</v>
      </c>
      <c r="D1935" s="704" t="s">
        <v>533</v>
      </c>
      <c r="E1935" s="704">
        <v>1</v>
      </c>
      <c r="F1935" s="704">
        <v>100</v>
      </c>
      <c r="H1935">
        <f t="shared" si="122"/>
        <v>4738</v>
      </c>
      <c r="I1935" t="str">
        <f t="shared" si="123"/>
        <v>Rest of Qld</v>
      </c>
    </row>
    <row r="1936" spans="1:9" x14ac:dyDescent="0.2">
      <c r="A1936" s="704">
        <v>4739</v>
      </c>
      <c r="B1936" s="704">
        <v>4739</v>
      </c>
      <c r="C1936" s="704" t="s">
        <v>579</v>
      </c>
      <c r="D1936" s="704" t="s">
        <v>533</v>
      </c>
      <c r="E1936" s="704">
        <v>1</v>
      </c>
      <c r="F1936" s="704">
        <v>100</v>
      </c>
      <c r="H1936">
        <f t="shared" si="122"/>
        <v>4739</v>
      </c>
      <c r="I1936" t="str">
        <f t="shared" si="123"/>
        <v>Rest of Qld</v>
      </c>
    </row>
    <row r="1937" spans="1:9" x14ac:dyDescent="0.2">
      <c r="A1937" s="704">
        <v>4740</v>
      </c>
      <c r="B1937" s="704">
        <v>4740</v>
      </c>
      <c r="C1937" s="704" t="s">
        <v>579</v>
      </c>
      <c r="D1937" s="704" t="s">
        <v>533</v>
      </c>
      <c r="E1937" s="704">
        <v>0.99940600000000002</v>
      </c>
      <c r="F1937" s="704">
        <v>99.940600000000003</v>
      </c>
      <c r="H1937">
        <f t="shared" si="122"/>
        <v>4740</v>
      </c>
      <c r="I1937" t="str">
        <f t="shared" si="123"/>
        <v>Rest of Qld</v>
      </c>
    </row>
    <row r="1938" spans="1:9" x14ac:dyDescent="0.2">
      <c r="A1938" s="704">
        <v>4741</v>
      </c>
      <c r="B1938" s="704">
        <v>4741</v>
      </c>
      <c r="C1938" s="704" t="s">
        <v>579</v>
      </c>
      <c r="D1938" s="704" t="s">
        <v>533</v>
      </c>
      <c r="E1938" s="704">
        <v>0.98897800000000002</v>
      </c>
      <c r="F1938" s="704">
        <v>98.897800000000004</v>
      </c>
      <c r="H1938">
        <f t="shared" si="122"/>
        <v>4741</v>
      </c>
      <c r="I1938" t="str">
        <f t="shared" si="123"/>
        <v>Rest of Qld</v>
      </c>
    </row>
    <row r="1939" spans="1:9" x14ac:dyDescent="0.2">
      <c r="A1939" s="704">
        <v>4742</v>
      </c>
      <c r="B1939" s="704">
        <v>4742</v>
      </c>
      <c r="C1939" s="704" t="s">
        <v>579</v>
      </c>
      <c r="D1939" s="704" t="s">
        <v>533</v>
      </c>
      <c r="E1939" s="704">
        <v>1</v>
      </c>
      <c r="F1939" s="704">
        <v>100</v>
      </c>
      <c r="H1939">
        <f t="shared" si="122"/>
        <v>4742</v>
      </c>
      <c r="I1939" t="str">
        <f t="shared" si="123"/>
        <v>Rest of Qld</v>
      </c>
    </row>
    <row r="1940" spans="1:9" x14ac:dyDescent="0.2">
      <c r="A1940" s="704">
        <v>4743</v>
      </c>
      <c r="B1940" s="704">
        <v>4743</v>
      </c>
      <c r="C1940" s="704" t="s">
        <v>579</v>
      </c>
      <c r="D1940" s="704" t="s">
        <v>533</v>
      </c>
      <c r="E1940" s="704">
        <v>1</v>
      </c>
      <c r="F1940" s="704">
        <v>100</v>
      </c>
      <c r="H1940">
        <f t="shared" si="122"/>
        <v>4743</v>
      </c>
      <c r="I1940" t="str">
        <f t="shared" si="123"/>
        <v>Rest of Qld</v>
      </c>
    </row>
    <row r="1941" spans="1:9" x14ac:dyDescent="0.2">
      <c r="A1941" s="704">
        <v>4744</v>
      </c>
      <c r="B1941" s="704">
        <v>4744</v>
      </c>
      <c r="C1941" s="704" t="s">
        <v>579</v>
      </c>
      <c r="D1941" s="704" t="s">
        <v>533</v>
      </c>
      <c r="E1941" s="704">
        <v>1</v>
      </c>
      <c r="F1941" s="704">
        <v>100</v>
      </c>
      <c r="H1941">
        <f t="shared" si="122"/>
        <v>4744</v>
      </c>
      <c r="I1941" t="str">
        <f t="shared" si="123"/>
        <v>Rest of Qld</v>
      </c>
    </row>
    <row r="1942" spans="1:9" x14ac:dyDescent="0.2">
      <c r="A1942" s="704">
        <v>4745</v>
      </c>
      <c r="B1942" s="704">
        <v>4745</v>
      </c>
      <c r="C1942" s="704" t="s">
        <v>579</v>
      </c>
      <c r="D1942" s="704" t="s">
        <v>533</v>
      </c>
      <c r="E1942" s="704">
        <v>1</v>
      </c>
      <c r="F1942" s="704">
        <v>100</v>
      </c>
      <c r="H1942">
        <f t="shared" si="122"/>
        <v>4745</v>
      </c>
      <c r="I1942" t="str">
        <f t="shared" si="123"/>
        <v>Rest of Qld</v>
      </c>
    </row>
    <row r="1943" spans="1:9" x14ac:dyDescent="0.2">
      <c r="A1943" s="704">
        <v>4746</v>
      </c>
      <c r="B1943" s="704">
        <v>4746</v>
      </c>
      <c r="C1943" s="704" t="s">
        <v>579</v>
      </c>
      <c r="D1943" s="704" t="s">
        <v>533</v>
      </c>
      <c r="E1943" s="704">
        <v>1</v>
      </c>
      <c r="F1943" s="704">
        <v>100</v>
      </c>
      <c r="H1943">
        <f t="shared" si="122"/>
        <v>4746</v>
      </c>
      <c r="I1943" t="str">
        <f t="shared" si="123"/>
        <v>Rest of Qld</v>
      </c>
    </row>
    <row r="1944" spans="1:9" x14ac:dyDescent="0.2">
      <c r="A1944" s="704">
        <v>4750</v>
      </c>
      <c r="B1944" s="704">
        <v>4750</v>
      </c>
      <c r="C1944" s="704" t="s">
        <v>579</v>
      </c>
      <c r="D1944" s="704" t="s">
        <v>533</v>
      </c>
      <c r="E1944" s="704">
        <v>1</v>
      </c>
      <c r="F1944" s="704">
        <v>100</v>
      </c>
      <c r="H1944">
        <f t="shared" si="122"/>
        <v>4750</v>
      </c>
      <c r="I1944" t="str">
        <f t="shared" si="123"/>
        <v>Rest of Qld</v>
      </c>
    </row>
    <row r="1945" spans="1:9" x14ac:dyDescent="0.2">
      <c r="A1945" s="704">
        <v>4751</v>
      </c>
      <c r="B1945" s="704">
        <v>4751</v>
      </c>
      <c r="C1945" s="704" t="s">
        <v>579</v>
      </c>
      <c r="D1945" s="704" t="s">
        <v>533</v>
      </c>
      <c r="E1945" s="704">
        <v>1</v>
      </c>
      <c r="F1945" s="704">
        <v>100</v>
      </c>
      <c r="H1945">
        <f t="shared" si="122"/>
        <v>4751</v>
      </c>
      <c r="I1945" t="str">
        <f t="shared" si="123"/>
        <v>Rest of Qld</v>
      </c>
    </row>
    <row r="1946" spans="1:9" x14ac:dyDescent="0.2">
      <c r="A1946" s="704">
        <v>4753</v>
      </c>
      <c r="B1946" s="704">
        <v>4753</v>
      </c>
      <c r="C1946" s="704" t="s">
        <v>579</v>
      </c>
      <c r="D1946" s="704" t="s">
        <v>533</v>
      </c>
      <c r="E1946" s="704">
        <v>1</v>
      </c>
      <c r="F1946" s="704">
        <v>100</v>
      </c>
      <c r="H1946">
        <f t="shared" si="122"/>
        <v>4753</v>
      </c>
      <c r="I1946" t="str">
        <f t="shared" si="123"/>
        <v>Rest of Qld</v>
      </c>
    </row>
    <row r="1947" spans="1:9" x14ac:dyDescent="0.2">
      <c r="A1947" s="704">
        <v>4754</v>
      </c>
      <c r="B1947" s="704">
        <v>4754</v>
      </c>
      <c r="C1947" s="704" t="s">
        <v>579</v>
      </c>
      <c r="D1947" s="704" t="s">
        <v>533</v>
      </c>
      <c r="E1947" s="704">
        <v>1</v>
      </c>
      <c r="F1947" s="704">
        <v>100</v>
      </c>
      <c r="H1947">
        <f t="shared" si="122"/>
        <v>4754</v>
      </c>
      <c r="I1947" t="str">
        <f t="shared" si="123"/>
        <v>Rest of Qld</v>
      </c>
    </row>
    <row r="1948" spans="1:9" x14ac:dyDescent="0.2">
      <c r="A1948" s="704">
        <v>4756</v>
      </c>
      <c r="B1948" s="704">
        <v>4756</v>
      </c>
      <c r="C1948" s="704" t="s">
        <v>579</v>
      </c>
      <c r="D1948" s="704" t="s">
        <v>533</v>
      </c>
      <c r="E1948" s="704">
        <v>1</v>
      </c>
      <c r="F1948" s="704">
        <v>100</v>
      </c>
      <c r="H1948">
        <f t="shared" si="122"/>
        <v>4756</v>
      </c>
      <c r="I1948" t="str">
        <f t="shared" si="123"/>
        <v>Rest of Qld</v>
      </c>
    </row>
    <row r="1949" spans="1:9" x14ac:dyDescent="0.2">
      <c r="A1949" s="704">
        <v>4757</v>
      </c>
      <c r="B1949" s="704">
        <v>4757</v>
      </c>
      <c r="C1949" s="704" t="s">
        <v>579</v>
      </c>
      <c r="D1949" s="704" t="s">
        <v>533</v>
      </c>
      <c r="E1949" s="704">
        <v>1</v>
      </c>
      <c r="F1949" s="704">
        <v>100</v>
      </c>
      <c r="H1949">
        <f t="shared" si="122"/>
        <v>4757</v>
      </c>
      <c r="I1949" t="str">
        <f t="shared" si="123"/>
        <v>Rest of Qld</v>
      </c>
    </row>
    <row r="1950" spans="1:9" x14ac:dyDescent="0.2">
      <c r="A1950" s="704">
        <v>4798</v>
      </c>
      <c r="B1950" s="704">
        <v>4798</v>
      </c>
      <c r="C1950" s="704" t="s">
        <v>579</v>
      </c>
      <c r="D1950" s="704" t="s">
        <v>533</v>
      </c>
      <c r="E1950" s="704">
        <v>1</v>
      </c>
      <c r="F1950" s="704">
        <v>100</v>
      </c>
      <c r="H1950">
        <f t="shared" si="122"/>
        <v>4798</v>
      </c>
      <c r="I1950" t="str">
        <f t="shared" si="123"/>
        <v>Rest of Qld</v>
      </c>
    </row>
    <row r="1951" spans="1:9" x14ac:dyDescent="0.2">
      <c r="A1951" s="704">
        <v>4799</v>
      </c>
      <c r="B1951" s="704">
        <v>4799</v>
      </c>
      <c r="C1951" s="704" t="s">
        <v>579</v>
      </c>
      <c r="D1951" s="704" t="s">
        <v>533</v>
      </c>
      <c r="E1951" s="704">
        <v>0.99999800000000005</v>
      </c>
      <c r="F1951" s="704">
        <v>99.999799999999993</v>
      </c>
      <c r="H1951">
        <f t="shared" si="122"/>
        <v>4799</v>
      </c>
      <c r="I1951" t="str">
        <f t="shared" si="123"/>
        <v>Rest of Qld</v>
      </c>
    </row>
    <row r="1952" spans="1:9" x14ac:dyDescent="0.2">
      <c r="A1952" s="704">
        <v>4800</v>
      </c>
      <c r="B1952" s="704">
        <v>4800</v>
      </c>
      <c r="C1952" s="704" t="s">
        <v>579</v>
      </c>
      <c r="D1952" s="704" t="s">
        <v>533</v>
      </c>
      <c r="E1952" s="704">
        <v>0.99977899999999997</v>
      </c>
      <c r="F1952" s="704">
        <v>99.977900000000005</v>
      </c>
      <c r="H1952">
        <f t="shared" si="122"/>
        <v>4800</v>
      </c>
      <c r="I1952" t="str">
        <f t="shared" si="123"/>
        <v>Rest of Qld</v>
      </c>
    </row>
    <row r="1953" spans="1:9" x14ac:dyDescent="0.2">
      <c r="A1953" s="704">
        <v>4801</v>
      </c>
      <c r="B1953" s="704">
        <v>4801</v>
      </c>
      <c r="C1953" s="704" t="s">
        <v>579</v>
      </c>
      <c r="D1953" s="704" t="s">
        <v>533</v>
      </c>
      <c r="E1953" s="704">
        <v>0.93333299999999997</v>
      </c>
      <c r="F1953" s="704">
        <v>93.333299999999994</v>
      </c>
      <c r="H1953">
        <f t="shared" si="122"/>
        <v>4801</v>
      </c>
      <c r="I1953" t="str">
        <f t="shared" si="123"/>
        <v>Rest of Qld</v>
      </c>
    </row>
    <row r="1954" spans="1:9" x14ac:dyDescent="0.2">
      <c r="A1954" s="704">
        <v>4802</v>
      </c>
      <c r="B1954" s="704">
        <v>4802</v>
      </c>
      <c r="C1954" s="704" t="s">
        <v>579</v>
      </c>
      <c r="D1954" s="704" t="s">
        <v>533</v>
      </c>
      <c r="E1954" s="704">
        <v>0.99801899999999999</v>
      </c>
      <c r="F1954" s="704">
        <v>99.801900000000003</v>
      </c>
      <c r="H1954">
        <f t="shared" si="122"/>
        <v>4802</v>
      </c>
      <c r="I1954" t="str">
        <f t="shared" si="123"/>
        <v>Rest of Qld</v>
      </c>
    </row>
    <row r="1955" spans="1:9" x14ac:dyDescent="0.2">
      <c r="A1955" s="704">
        <v>4803</v>
      </c>
      <c r="B1955" s="704">
        <v>4803</v>
      </c>
      <c r="C1955" s="704" t="s">
        <v>579</v>
      </c>
      <c r="D1955" s="704" t="s">
        <v>533</v>
      </c>
      <c r="E1955" s="704">
        <v>0.97297299999999998</v>
      </c>
      <c r="F1955" s="704">
        <v>97.297300000000007</v>
      </c>
      <c r="H1955">
        <f t="shared" si="122"/>
        <v>4803</v>
      </c>
      <c r="I1955" t="str">
        <f t="shared" si="123"/>
        <v>Rest of Qld</v>
      </c>
    </row>
    <row r="1956" spans="1:9" x14ac:dyDescent="0.2">
      <c r="A1956" s="704">
        <v>4804</v>
      </c>
      <c r="B1956" s="704">
        <v>4804</v>
      </c>
      <c r="C1956" s="704" t="s">
        <v>579</v>
      </c>
      <c r="D1956" s="704" t="s">
        <v>533</v>
      </c>
      <c r="E1956" s="704">
        <v>1</v>
      </c>
      <c r="F1956" s="704">
        <v>100</v>
      </c>
      <c r="H1956">
        <f t="shared" si="122"/>
        <v>4804</v>
      </c>
      <c r="I1956" t="str">
        <f t="shared" si="123"/>
        <v>Rest of Qld</v>
      </c>
    </row>
    <row r="1957" spans="1:9" x14ac:dyDescent="0.2">
      <c r="A1957" s="704">
        <v>4805</v>
      </c>
      <c r="B1957" s="704">
        <v>4805</v>
      </c>
      <c r="C1957" s="704" t="s">
        <v>579</v>
      </c>
      <c r="D1957" s="704" t="s">
        <v>533</v>
      </c>
      <c r="E1957" s="704">
        <v>0.99617999999999995</v>
      </c>
      <c r="F1957" s="704">
        <v>99.617900000000006</v>
      </c>
      <c r="H1957">
        <f t="shared" si="122"/>
        <v>4805</v>
      </c>
      <c r="I1957" t="str">
        <f t="shared" si="123"/>
        <v>Rest of Qld</v>
      </c>
    </row>
    <row r="1958" spans="1:9" x14ac:dyDescent="0.2">
      <c r="A1958" s="704">
        <v>4806</v>
      </c>
      <c r="B1958" s="704">
        <v>4806</v>
      </c>
      <c r="C1958" s="704" t="s">
        <v>579</v>
      </c>
      <c r="D1958" s="704" t="s">
        <v>533</v>
      </c>
      <c r="E1958" s="704">
        <v>1</v>
      </c>
      <c r="F1958" s="704">
        <v>100</v>
      </c>
      <c r="H1958">
        <f t="shared" si="122"/>
        <v>4806</v>
      </c>
      <c r="I1958" t="str">
        <f t="shared" si="123"/>
        <v>Rest of Qld</v>
      </c>
    </row>
    <row r="1959" spans="1:9" x14ac:dyDescent="0.2">
      <c r="A1959" s="704">
        <v>4807</v>
      </c>
      <c r="B1959" s="704">
        <v>4807</v>
      </c>
      <c r="C1959" s="704" t="s">
        <v>579</v>
      </c>
      <c r="D1959" s="704" t="s">
        <v>533</v>
      </c>
      <c r="E1959" s="704">
        <v>1</v>
      </c>
      <c r="F1959" s="704">
        <v>100</v>
      </c>
      <c r="H1959">
        <f t="shared" si="122"/>
        <v>4807</v>
      </c>
      <c r="I1959" t="str">
        <f t="shared" si="123"/>
        <v>Rest of Qld</v>
      </c>
    </row>
    <row r="1960" spans="1:9" x14ac:dyDescent="0.2">
      <c r="A1960" s="704">
        <v>4808</v>
      </c>
      <c r="B1960" s="704">
        <v>4808</v>
      </c>
      <c r="C1960" s="704" t="s">
        <v>579</v>
      </c>
      <c r="D1960" s="704" t="s">
        <v>533</v>
      </c>
      <c r="E1960" s="704">
        <v>1</v>
      </c>
      <c r="F1960" s="704">
        <v>100</v>
      </c>
      <c r="H1960">
        <f t="shared" si="122"/>
        <v>4808</v>
      </c>
      <c r="I1960" t="str">
        <f t="shared" si="123"/>
        <v>Rest of Qld</v>
      </c>
    </row>
    <row r="1961" spans="1:9" x14ac:dyDescent="0.2">
      <c r="A1961" s="704">
        <v>4809</v>
      </c>
      <c r="B1961" s="704">
        <v>4809</v>
      </c>
      <c r="C1961" s="704" t="s">
        <v>579</v>
      </c>
      <c r="D1961" s="704" t="s">
        <v>533</v>
      </c>
      <c r="E1961" s="704">
        <v>0.99985299999999999</v>
      </c>
      <c r="F1961" s="704">
        <v>99.985299999999995</v>
      </c>
      <c r="H1961">
        <f t="shared" si="122"/>
        <v>4809</v>
      </c>
      <c r="I1961" t="str">
        <f t="shared" si="123"/>
        <v>Rest of Qld</v>
      </c>
    </row>
    <row r="1962" spans="1:9" x14ac:dyDescent="0.2">
      <c r="A1962" s="704">
        <v>4810</v>
      </c>
      <c r="B1962" s="704">
        <v>4810</v>
      </c>
      <c r="C1962" s="704" t="s">
        <v>579</v>
      </c>
      <c r="D1962" s="704" t="s">
        <v>533</v>
      </c>
      <c r="E1962" s="704">
        <v>1</v>
      </c>
      <c r="F1962" s="704">
        <v>100</v>
      </c>
      <c r="H1962">
        <f t="shared" si="122"/>
        <v>4810</v>
      </c>
      <c r="I1962" t="str">
        <f t="shared" si="123"/>
        <v>Rest of Qld</v>
      </c>
    </row>
    <row r="1963" spans="1:9" x14ac:dyDescent="0.2">
      <c r="A1963" s="704">
        <v>4811</v>
      </c>
      <c r="B1963" s="704">
        <v>4811</v>
      </c>
      <c r="C1963" s="704" t="s">
        <v>579</v>
      </c>
      <c r="D1963" s="704" t="s">
        <v>533</v>
      </c>
      <c r="E1963" s="704">
        <v>1</v>
      </c>
      <c r="F1963" s="704">
        <v>100</v>
      </c>
      <c r="H1963">
        <f t="shared" si="122"/>
        <v>4811</v>
      </c>
      <c r="I1963" t="str">
        <f t="shared" si="123"/>
        <v>Rest of Qld</v>
      </c>
    </row>
    <row r="1964" spans="1:9" x14ac:dyDescent="0.2">
      <c r="A1964" s="704">
        <v>4812</v>
      </c>
      <c r="B1964" s="704">
        <v>4812</v>
      </c>
      <c r="C1964" s="704" t="s">
        <v>579</v>
      </c>
      <c r="D1964" s="704" t="s">
        <v>533</v>
      </c>
      <c r="E1964" s="704">
        <v>1</v>
      </c>
      <c r="F1964" s="704">
        <v>100</v>
      </c>
      <c r="H1964">
        <f t="shared" si="122"/>
        <v>4812</v>
      </c>
      <c r="I1964" t="str">
        <f t="shared" si="123"/>
        <v>Rest of Qld</v>
      </c>
    </row>
    <row r="1965" spans="1:9" x14ac:dyDescent="0.2">
      <c r="A1965" s="704">
        <v>4813</v>
      </c>
      <c r="B1965" s="704">
        <v>4813</v>
      </c>
      <c r="C1965" s="704" t="s">
        <v>579</v>
      </c>
      <c r="D1965" s="704" t="s">
        <v>533</v>
      </c>
      <c r="E1965" s="704">
        <v>1</v>
      </c>
      <c r="F1965" s="704">
        <v>100</v>
      </c>
      <c r="H1965">
        <f t="shared" si="122"/>
        <v>4813</v>
      </c>
      <c r="I1965" t="str">
        <f t="shared" si="123"/>
        <v>Rest of Qld</v>
      </c>
    </row>
    <row r="1966" spans="1:9" x14ac:dyDescent="0.2">
      <c r="A1966" s="704">
        <v>4814</v>
      </c>
      <c r="B1966" s="704">
        <v>4814</v>
      </c>
      <c r="C1966" s="704" t="s">
        <v>579</v>
      </c>
      <c r="D1966" s="704" t="s">
        <v>533</v>
      </c>
      <c r="E1966" s="704">
        <v>1</v>
      </c>
      <c r="F1966" s="704">
        <v>100</v>
      </c>
      <c r="H1966">
        <f t="shared" si="122"/>
        <v>4814</v>
      </c>
      <c r="I1966" t="str">
        <f t="shared" si="123"/>
        <v>Rest of Qld</v>
      </c>
    </row>
    <row r="1967" spans="1:9" x14ac:dyDescent="0.2">
      <c r="A1967" s="704">
        <v>4815</v>
      </c>
      <c r="B1967" s="704">
        <v>4815</v>
      </c>
      <c r="C1967" s="704" t="s">
        <v>579</v>
      </c>
      <c r="D1967" s="704" t="s">
        <v>533</v>
      </c>
      <c r="E1967" s="704">
        <v>1</v>
      </c>
      <c r="F1967" s="704">
        <v>100</v>
      </c>
      <c r="H1967">
        <f t="shared" si="122"/>
        <v>4815</v>
      </c>
      <c r="I1967" t="str">
        <f t="shared" si="123"/>
        <v>Rest of Qld</v>
      </c>
    </row>
    <row r="1968" spans="1:9" x14ac:dyDescent="0.2">
      <c r="A1968" s="704">
        <v>4816</v>
      </c>
      <c r="B1968" s="704">
        <v>4816</v>
      </c>
      <c r="C1968" s="704" t="s">
        <v>579</v>
      </c>
      <c r="D1968" s="704" t="s">
        <v>533</v>
      </c>
      <c r="E1968" s="704">
        <v>0.99313200000000001</v>
      </c>
      <c r="F1968" s="704">
        <v>99.313199999999995</v>
      </c>
      <c r="H1968">
        <f t="shared" si="122"/>
        <v>4816</v>
      </c>
      <c r="I1968" t="str">
        <f t="shared" si="123"/>
        <v>Rest of Qld</v>
      </c>
    </row>
    <row r="1969" spans="1:9" x14ac:dyDescent="0.2">
      <c r="A1969" s="704">
        <v>4817</v>
      </c>
      <c r="B1969" s="704">
        <v>4817</v>
      </c>
      <c r="C1969" s="704" t="s">
        <v>579</v>
      </c>
      <c r="D1969" s="704" t="s">
        <v>533</v>
      </c>
      <c r="E1969" s="704">
        <v>1</v>
      </c>
      <c r="F1969" s="704">
        <v>100</v>
      </c>
      <c r="H1969">
        <f t="shared" si="122"/>
        <v>4817</v>
      </c>
      <c r="I1969" t="str">
        <f t="shared" si="123"/>
        <v>Rest of Qld</v>
      </c>
    </row>
    <row r="1970" spans="1:9" x14ac:dyDescent="0.2">
      <c r="A1970" s="704">
        <v>4818</v>
      </c>
      <c r="B1970" s="704">
        <v>4818</v>
      </c>
      <c r="C1970" s="704" t="s">
        <v>579</v>
      </c>
      <c r="D1970" s="704" t="s">
        <v>533</v>
      </c>
      <c r="E1970" s="704">
        <v>1</v>
      </c>
      <c r="F1970" s="704">
        <v>100</v>
      </c>
      <c r="H1970">
        <f t="shared" si="122"/>
        <v>4818</v>
      </c>
      <c r="I1970" t="str">
        <f t="shared" si="123"/>
        <v>Rest of Qld</v>
      </c>
    </row>
    <row r="1971" spans="1:9" x14ac:dyDescent="0.2">
      <c r="A1971" s="704">
        <v>4819</v>
      </c>
      <c r="B1971" s="704">
        <v>4819</v>
      </c>
      <c r="C1971" s="704" t="s">
        <v>579</v>
      </c>
      <c r="D1971" s="704" t="s">
        <v>533</v>
      </c>
      <c r="E1971" s="704">
        <v>0.99248999999999998</v>
      </c>
      <c r="F1971" s="704">
        <v>99.248999999999995</v>
      </c>
      <c r="H1971">
        <f t="shared" si="122"/>
        <v>4819</v>
      </c>
      <c r="I1971" t="str">
        <f t="shared" si="123"/>
        <v>Rest of Qld</v>
      </c>
    </row>
    <row r="1972" spans="1:9" x14ac:dyDescent="0.2">
      <c r="A1972" s="704">
        <v>4820</v>
      </c>
      <c r="B1972" s="704">
        <v>4820</v>
      </c>
      <c r="C1972" s="704" t="s">
        <v>579</v>
      </c>
      <c r="D1972" s="704" t="s">
        <v>533</v>
      </c>
      <c r="E1972" s="704">
        <v>1</v>
      </c>
      <c r="F1972" s="704">
        <v>100</v>
      </c>
      <c r="H1972">
        <f t="shared" si="122"/>
        <v>4820</v>
      </c>
      <c r="I1972" t="str">
        <f t="shared" si="123"/>
        <v>Rest of Qld</v>
      </c>
    </row>
    <row r="1973" spans="1:9" x14ac:dyDescent="0.2">
      <c r="A1973" s="704">
        <v>4821</v>
      </c>
      <c r="B1973" s="704">
        <v>4821</v>
      </c>
      <c r="C1973" s="704" t="s">
        <v>579</v>
      </c>
      <c r="D1973" s="704" t="s">
        <v>533</v>
      </c>
      <c r="E1973" s="704">
        <v>1</v>
      </c>
      <c r="F1973" s="704">
        <v>100</v>
      </c>
      <c r="H1973">
        <f t="shared" si="122"/>
        <v>4821</v>
      </c>
      <c r="I1973" t="str">
        <f t="shared" si="123"/>
        <v>Rest of Qld</v>
      </c>
    </row>
    <row r="1974" spans="1:9" x14ac:dyDescent="0.2">
      <c r="A1974" s="704">
        <v>4822</v>
      </c>
      <c r="B1974" s="704">
        <v>4822</v>
      </c>
      <c r="C1974" s="704" t="s">
        <v>579</v>
      </c>
      <c r="D1974" s="704" t="s">
        <v>533</v>
      </c>
      <c r="E1974" s="704">
        <v>1</v>
      </c>
      <c r="F1974" s="704">
        <v>100</v>
      </c>
      <c r="H1974">
        <f t="shared" si="122"/>
        <v>4822</v>
      </c>
      <c r="I1974" t="str">
        <f t="shared" si="123"/>
        <v>Rest of Qld</v>
      </c>
    </row>
    <row r="1975" spans="1:9" x14ac:dyDescent="0.2">
      <c r="A1975" s="704">
        <v>4823</v>
      </c>
      <c r="B1975" s="704">
        <v>4823</v>
      </c>
      <c r="C1975" s="704" t="s">
        <v>579</v>
      </c>
      <c r="D1975" s="704" t="s">
        <v>533</v>
      </c>
      <c r="E1975" s="704">
        <v>1</v>
      </c>
      <c r="F1975" s="704">
        <v>100</v>
      </c>
      <c r="H1975">
        <f t="shared" si="122"/>
        <v>4823</v>
      </c>
      <c r="I1975" t="str">
        <f t="shared" si="123"/>
        <v>Rest of Qld</v>
      </c>
    </row>
    <row r="1976" spans="1:9" x14ac:dyDescent="0.2">
      <c r="A1976" s="704">
        <v>4824</v>
      </c>
      <c r="B1976" s="704">
        <v>4824</v>
      </c>
      <c r="C1976" s="704" t="s">
        <v>579</v>
      </c>
      <c r="D1976" s="704" t="s">
        <v>533</v>
      </c>
      <c r="E1976" s="704">
        <v>1</v>
      </c>
      <c r="F1976" s="704">
        <v>100</v>
      </c>
      <c r="H1976">
        <f t="shared" si="122"/>
        <v>4824</v>
      </c>
      <c r="I1976" t="str">
        <f t="shared" si="123"/>
        <v>Rest of Qld</v>
      </c>
    </row>
    <row r="1977" spans="1:9" x14ac:dyDescent="0.2">
      <c r="A1977" s="704">
        <v>4825</v>
      </c>
      <c r="B1977" s="704">
        <v>4825</v>
      </c>
      <c r="C1977" s="704" t="s">
        <v>579</v>
      </c>
      <c r="D1977" s="704" t="s">
        <v>533</v>
      </c>
      <c r="E1977" s="704">
        <v>0.978688</v>
      </c>
      <c r="F1977" s="704">
        <v>97.868799999999993</v>
      </c>
      <c r="H1977">
        <f t="shared" ref="H1977:H2040" si="124">A1977*1</f>
        <v>4825</v>
      </c>
      <c r="I1977" t="str">
        <f t="shared" ref="I1977:I2040" si="125">D1977</f>
        <v>Rest of Qld</v>
      </c>
    </row>
    <row r="1978" spans="1:9" x14ac:dyDescent="0.2">
      <c r="A1978" s="704">
        <v>4825</v>
      </c>
      <c r="B1978" s="704">
        <v>4825</v>
      </c>
      <c r="C1978" s="704" t="s">
        <v>529</v>
      </c>
      <c r="D1978" s="704" t="s">
        <v>519</v>
      </c>
      <c r="E1978" s="704">
        <v>2.1311500000000001E-2</v>
      </c>
      <c r="F1978" s="704">
        <v>2.1311499999999999</v>
      </c>
      <c r="H1978">
        <f t="shared" si="124"/>
        <v>4825</v>
      </c>
      <c r="I1978" t="str">
        <f t="shared" si="125"/>
        <v>Rest of NT</v>
      </c>
    </row>
    <row r="1979" spans="1:9" x14ac:dyDescent="0.2">
      <c r="A1979" s="704">
        <v>4828</v>
      </c>
      <c r="B1979" s="704">
        <v>4828</v>
      </c>
      <c r="C1979" s="704" t="s">
        <v>579</v>
      </c>
      <c r="D1979" s="704" t="s">
        <v>533</v>
      </c>
      <c r="E1979" s="704">
        <v>1</v>
      </c>
      <c r="F1979" s="704">
        <v>100</v>
      </c>
      <c r="H1979">
        <f t="shared" si="124"/>
        <v>4828</v>
      </c>
      <c r="I1979" t="str">
        <f t="shared" si="125"/>
        <v>Rest of Qld</v>
      </c>
    </row>
    <row r="1980" spans="1:9" x14ac:dyDescent="0.2">
      <c r="A1980" s="704">
        <v>4829</v>
      </c>
      <c r="B1980" s="704">
        <v>4829</v>
      </c>
      <c r="C1980" s="704" t="s">
        <v>579</v>
      </c>
      <c r="D1980" s="704" t="s">
        <v>533</v>
      </c>
      <c r="E1980" s="704">
        <v>1</v>
      </c>
      <c r="F1980" s="704">
        <v>100</v>
      </c>
      <c r="H1980">
        <f t="shared" si="124"/>
        <v>4829</v>
      </c>
      <c r="I1980" t="str">
        <f t="shared" si="125"/>
        <v>Rest of Qld</v>
      </c>
    </row>
    <row r="1981" spans="1:9" x14ac:dyDescent="0.2">
      <c r="A1981" s="704">
        <v>4830</v>
      </c>
      <c r="B1981" s="704">
        <v>4830</v>
      </c>
      <c r="C1981" s="704" t="s">
        <v>579</v>
      </c>
      <c r="D1981" s="704" t="s">
        <v>533</v>
      </c>
      <c r="E1981" s="704">
        <v>1</v>
      </c>
      <c r="F1981" s="704">
        <v>100</v>
      </c>
      <c r="H1981">
        <f t="shared" si="124"/>
        <v>4830</v>
      </c>
      <c r="I1981" t="str">
        <f t="shared" si="125"/>
        <v>Rest of Qld</v>
      </c>
    </row>
    <row r="1982" spans="1:9" x14ac:dyDescent="0.2">
      <c r="A1982" s="704">
        <v>4849</v>
      </c>
      <c r="B1982" s="704">
        <v>4849</v>
      </c>
      <c r="C1982" s="704" t="s">
        <v>579</v>
      </c>
      <c r="D1982" s="704" t="s">
        <v>533</v>
      </c>
      <c r="E1982" s="704">
        <v>0.99996600000000002</v>
      </c>
      <c r="F1982" s="704">
        <v>99.996600000000001</v>
      </c>
      <c r="H1982">
        <f t="shared" si="124"/>
        <v>4849</v>
      </c>
      <c r="I1982" t="str">
        <f t="shared" si="125"/>
        <v>Rest of Qld</v>
      </c>
    </row>
    <row r="1983" spans="1:9" x14ac:dyDescent="0.2">
      <c r="A1983" s="704">
        <v>4850</v>
      </c>
      <c r="B1983" s="704">
        <v>4850</v>
      </c>
      <c r="C1983" s="704" t="s">
        <v>579</v>
      </c>
      <c r="D1983" s="704" t="s">
        <v>533</v>
      </c>
      <c r="E1983" s="704">
        <v>0.99983200000000005</v>
      </c>
      <c r="F1983" s="704">
        <v>99.983199999999997</v>
      </c>
      <c r="H1983">
        <f t="shared" si="124"/>
        <v>4850</v>
      </c>
      <c r="I1983" t="str">
        <f t="shared" si="125"/>
        <v>Rest of Qld</v>
      </c>
    </row>
    <row r="1984" spans="1:9" x14ac:dyDescent="0.2">
      <c r="A1984" s="704">
        <v>4852</v>
      </c>
      <c r="B1984" s="704">
        <v>4852</v>
      </c>
      <c r="C1984" s="704" t="s">
        <v>579</v>
      </c>
      <c r="D1984" s="704" t="s">
        <v>533</v>
      </c>
      <c r="E1984" s="704">
        <v>0.99212599999999995</v>
      </c>
      <c r="F1984" s="704">
        <v>99.212599999999995</v>
      </c>
      <c r="H1984">
        <f t="shared" si="124"/>
        <v>4852</v>
      </c>
      <c r="I1984" t="str">
        <f t="shared" si="125"/>
        <v>Rest of Qld</v>
      </c>
    </row>
    <row r="1985" spans="1:9" x14ac:dyDescent="0.2">
      <c r="A1985" s="704">
        <v>4854</v>
      </c>
      <c r="B1985" s="704">
        <v>4854</v>
      </c>
      <c r="C1985" s="704" t="s">
        <v>579</v>
      </c>
      <c r="D1985" s="704" t="s">
        <v>533</v>
      </c>
      <c r="E1985" s="704">
        <v>0.999857</v>
      </c>
      <c r="F1985" s="704">
        <v>99.985699999999994</v>
      </c>
      <c r="H1985">
        <f t="shared" si="124"/>
        <v>4854</v>
      </c>
      <c r="I1985" t="str">
        <f t="shared" si="125"/>
        <v>Rest of Qld</v>
      </c>
    </row>
    <row r="1986" spans="1:9" x14ac:dyDescent="0.2">
      <c r="A1986" s="704">
        <v>4855</v>
      </c>
      <c r="B1986" s="704">
        <v>4855</v>
      </c>
      <c r="C1986" s="704" t="s">
        <v>579</v>
      </c>
      <c r="D1986" s="704" t="s">
        <v>533</v>
      </c>
      <c r="E1986" s="704">
        <v>1</v>
      </c>
      <c r="F1986" s="704">
        <v>100</v>
      </c>
      <c r="H1986">
        <f t="shared" si="124"/>
        <v>4855</v>
      </c>
      <c r="I1986" t="str">
        <f t="shared" si="125"/>
        <v>Rest of Qld</v>
      </c>
    </row>
    <row r="1987" spans="1:9" x14ac:dyDescent="0.2">
      <c r="A1987" s="704">
        <v>4856</v>
      </c>
      <c r="B1987" s="704">
        <v>4856</v>
      </c>
      <c r="C1987" s="704" t="s">
        <v>579</v>
      </c>
      <c r="D1987" s="704" t="s">
        <v>533</v>
      </c>
      <c r="E1987" s="704">
        <v>1</v>
      </c>
      <c r="F1987" s="704">
        <v>100</v>
      </c>
      <c r="H1987">
        <f t="shared" si="124"/>
        <v>4856</v>
      </c>
      <c r="I1987" t="str">
        <f t="shared" si="125"/>
        <v>Rest of Qld</v>
      </c>
    </row>
    <row r="1988" spans="1:9" x14ac:dyDescent="0.2">
      <c r="A1988" s="704">
        <v>4857</v>
      </c>
      <c r="B1988" s="704">
        <v>4857</v>
      </c>
      <c r="C1988" s="704" t="s">
        <v>579</v>
      </c>
      <c r="D1988" s="704" t="s">
        <v>533</v>
      </c>
      <c r="E1988" s="704">
        <v>1</v>
      </c>
      <c r="F1988" s="704">
        <v>100</v>
      </c>
      <c r="H1988">
        <f t="shared" si="124"/>
        <v>4857</v>
      </c>
      <c r="I1988" t="str">
        <f t="shared" si="125"/>
        <v>Rest of Qld</v>
      </c>
    </row>
    <row r="1989" spans="1:9" x14ac:dyDescent="0.2">
      <c r="A1989" s="704">
        <v>4858</v>
      </c>
      <c r="B1989" s="704">
        <v>4858</v>
      </c>
      <c r="C1989" s="704" t="s">
        <v>579</v>
      </c>
      <c r="D1989" s="704" t="s">
        <v>533</v>
      </c>
      <c r="E1989" s="704">
        <v>0.99941599999999997</v>
      </c>
      <c r="F1989" s="704">
        <v>99.941599999999994</v>
      </c>
      <c r="H1989">
        <f t="shared" si="124"/>
        <v>4858</v>
      </c>
      <c r="I1989" t="str">
        <f t="shared" si="125"/>
        <v>Rest of Qld</v>
      </c>
    </row>
    <row r="1990" spans="1:9" x14ac:dyDescent="0.2">
      <c r="A1990" s="704">
        <v>4859</v>
      </c>
      <c r="B1990" s="704">
        <v>4859</v>
      </c>
      <c r="C1990" s="704" t="s">
        <v>579</v>
      </c>
      <c r="D1990" s="704" t="s">
        <v>533</v>
      </c>
      <c r="E1990" s="704">
        <v>1</v>
      </c>
      <c r="F1990" s="704">
        <v>100</v>
      </c>
      <c r="H1990">
        <f t="shared" si="124"/>
        <v>4859</v>
      </c>
      <c r="I1990" t="str">
        <f t="shared" si="125"/>
        <v>Rest of Qld</v>
      </c>
    </row>
    <row r="1991" spans="1:9" x14ac:dyDescent="0.2">
      <c r="A1991" s="704">
        <v>4860</v>
      </c>
      <c r="B1991" s="704">
        <v>4860</v>
      </c>
      <c r="C1991" s="704" t="s">
        <v>579</v>
      </c>
      <c r="D1991" s="704" t="s">
        <v>533</v>
      </c>
      <c r="E1991" s="704">
        <v>0.98151100000000002</v>
      </c>
      <c r="F1991" s="704">
        <v>98.1511</v>
      </c>
      <c r="H1991">
        <f t="shared" si="124"/>
        <v>4860</v>
      </c>
      <c r="I1991" t="str">
        <f t="shared" si="125"/>
        <v>Rest of Qld</v>
      </c>
    </row>
    <row r="1992" spans="1:9" x14ac:dyDescent="0.2">
      <c r="A1992" s="704">
        <v>4861</v>
      </c>
      <c r="B1992" s="704">
        <v>4861</v>
      </c>
      <c r="C1992" s="704" t="s">
        <v>579</v>
      </c>
      <c r="D1992" s="704" t="s">
        <v>533</v>
      </c>
      <c r="E1992" s="704">
        <v>0.99999899999999997</v>
      </c>
      <c r="F1992" s="704">
        <v>99.999899999999997</v>
      </c>
      <c r="H1992">
        <f t="shared" si="124"/>
        <v>4861</v>
      </c>
      <c r="I1992" t="str">
        <f t="shared" si="125"/>
        <v>Rest of Qld</v>
      </c>
    </row>
    <row r="1993" spans="1:9" x14ac:dyDescent="0.2">
      <c r="A1993" s="704">
        <v>4865</v>
      </c>
      <c r="B1993" s="704">
        <v>4865</v>
      </c>
      <c r="C1993" s="704" t="s">
        <v>579</v>
      </c>
      <c r="D1993" s="704" t="s">
        <v>533</v>
      </c>
      <c r="E1993" s="704">
        <v>1</v>
      </c>
      <c r="F1993" s="704">
        <v>100</v>
      </c>
      <c r="H1993">
        <f t="shared" si="124"/>
        <v>4865</v>
      </c>
      <c r="I1993" t="str">
        <f t="shared" si="125"/>
        <v>Rest of Qld</v>
      </c>
    </row>
    <row r="1994" spans="1:9" x14ac:dyDescent="0.2">
      <c r="A1994" s="704">
        <v>4868</v>
      </c>
      <c r="B1994" s="704">
        <v>4868</v>
      </c>
      <c r="C1994" s="704" t="s">
        <v>579</v>
      </c>
      <c r="D1994" s="704" t="s">
        <v>533</v>
      </c>
      <c r="E1994" s="704">
        <v>1</v>
      </c>
      <c r="F1994" s="704">
        <v>100</v>
      </c>
      <c r="H1994">
        <f t="shared" si="124"/>
        <v>4868</v>
      </c>
      <c r="I1994" t="str">
        <f t="shared" si="125"/>
        <v>Rest of Qld</v>
      </c>
    </row>
    <row r="1995" spans="1:9" x14ac:dyDescent="0.2">
      <c r="A1995" s="704">
        <v>4869</v>
      </c>
      <c r="B1995" s="704">
        <v>4869</v>
      </c>
      <c r="C1995" s="704" t="s">
        <v>579</v>
      </c>
      <c r="D1995" s="704" t="s">
        <v>533</v>
      </c>
      <c r="E1995" s="704">
        <v>1</v>
      </c>
      <c r="F1995" s="704">
        <v>100</v>
      </c>
      <c r="H1995">
        <f t="shared" si="124"/>
        <v>4869</v>
      </c>
      <c r="I1995" t="str">
        <f t="shared" si="125"/>
        <v>Rest of Qld</v>
      </c>
    </row>
    <row r="1996" spans="1:9" x14ac:dyDescent="0.2">
      <c r="A1996" s="704">
        <v>4870</v>
      </c>
      <c r="B1996" s="704">
        <v>4870</v>
      </c>
      <c r="C1996" s="704" t="s">
        <v>579</v>
      </c>
      <c r="D1996" s="704" t="s">
        <v>533</v>
      </c>
      <c r="E1996" s="704">
        <v>0.99957600000000002</v>
      </c>
      <c r="F1996" s="704">
        <v>99.957599999999999</v>
      </c>
      <c r="H1996">
        <f t="shared" si="124"/>
        <v>4870</v>
      </c>
      <c r="I1996" t="str">
        <f t="shared" si="125"/>
        <v>Rest of Qld</v>
      </c>
    </row>
    <row r="1997" spans="1:9" x14ac:dyDescent="0.2">
      <c r="A1997" s="704">
        <v>4871</v>
      </c>
      <c r="B1997" s="704">
        <v>4871</v>
      </c>
      <c r="C1997" s="704" t="s">
        <v>579</v>
      </c>
      <c r="D1997" s="704" t="s">
        <v>533</v>
      </c>
      <c r="E1997" s="704">
        <v>0.997031</v>
      </c>
      <c r="F1997" s="704">
        <v>99.703000000000003</v>
      </c>
      <c r="H1997">
        <f t="shared" si="124"/>
        <v>4871</v>
      </c>
      <c r="I1997" t="str">
        <f t="shared" si="125"/>
        <v>Rest of Qld</v>
      </c>
    </row>
    <row r="1998" spans="1:9" x14ac:dyDescent="0.2">
      <c r="A1998" s="704">
        <v>4872</v>
      </c>
      <c r="B1998" s="704">
        <v>4872</v>
      </c>
      <c r="C1998" s="704" t="s">
        <v>579</v>
      </c>
      <c r="D1998" s="704" t="s">
        <v>533</v>
      </c>
      <c r="E1998" s="704">
        <v>1</v>
      </c>
      <c r="F1998" s="704">
        <v>100</v>
      </c>
      <c r="H1998">
        <f t="shared" si="124"/>
        <v>4872</v>
      </c>
      <c r="I1998" t="str">
        <f t="shared" si="125"/>
        <v>Rest of Qld</v>
      </c>
    </row>
    <row r="1999" spans="1:9" x14ac:dyDescent="0.2">
      <c r="A1999" s="704">
        <v>4873</v>
      </c>
      <c r="B1999" s="704">
        <v>4873</v>
      </c>
      <c r="C1999" s="704" t="s">
        <v>579</v>
      </c>
      <c r="D1999" s="704" t="s">
        <v>533</v>
      </c>
      <c r="E1999" s="704">
        <v>0.99192599999999997</v>
      </c>
      <c r="F1999" s="704">
        <v>99.192599999999999</v>
      </c>
      <c r="H1999">
        <f t="shared" si="124"/>
        <v>4873</v>
      </c>
      <c r="I1999" t="str">
        <f t="shared" si="125"/>
        <v>Rest of Qld</v>
      </c>
    </row>
    <row r="2000" spans="1:9" x14ac:dyDescent="0.2">
      <c r="A2000" s="704">
        <v>4874</v>
      </c>
      <c r="B2000" s="704">
        <v>4874</v>
      </c>
      <c r="C2000" s="704" t="s">
        <v>579</v>
      </c>
      <c r="D2000" s="704" t="s">
        <v>533</v>
      </c>
      <c r="E2000" s="704">
        <v>0.99979099999999999</v>
      </c>
      <c r="F2000" s="704">
        <v>99.979100000000003</v>
      </c>
      <c r="H2000">
        <f t="shared" si="124"/>
        <v>4874</v>
      </c>
      <c r="I2000" t="str">
        <f t="shared" si="125"/>
        <v>Rest of Qld</v>
      </c>
    </row>
    <row r="2001" spans="1:9" x14ac:dyDescent="0.2">
      <c r="A2001" s="704">
        <v>4875</v>
      </c>
      <c r="B2001" s="704">
        <v>4875</v>
      </c>
      <c r="C2001" s="704" t="s">
        <v>579</v>
      </c>
      <c r="D2001" s="704" t="s">
        <v>533</v>
      </c>
      <c r="E2001" s="704">
        <v>0.977939</v>
      </c>
      <c r="F2001" s="704">
        <v>97.793899999999994</v>
      </c>
      <c r="H2001">
        <f t="shared" si="124"/>
        <v>4875</v>
      </c>
      <c r="I2001" t="str">
        <f t="shared" si="125"/>
        <v>Rest of Qld</v>
      </c>
    </row>
    <row r="2002" spans="1:9" x14ac:dyDescent="0.2">
      <c r="A2002" s="704">
        <v>4876</v>
      </c>
      <c r="B2002" s="704">
        <v>4876</v>
      </c>
      <c r="C2002" s="704" t="s">
        <v>579</v>
      </c>
      <c r="D2002" s="704" t="s">
        <v>533</v>
      </c>
      <c r="E2002" s="704">
        <v>0.99911399999999995</v>
      </c>
      <c r="F2002" s="704">
        <v>99.9114</v>
      </c>
      <c r="H2002">
        <f t="shared" si="124"/>
        <v>4876</v>
      </c>
      <c r="I2002" t="str">
        <f t="shared" si="125"/>
        <v>Rest of Qld</v>
      </c>
    </row>
    <row r="2003" spans="1:9" x14ac:dyDescent="0.2">
      <c r="A2003" s="704">
        <v>4877</v>
      </c>
      <c r="B2003" s="704">
        <v>4877</v>
      </c>
      <c r="C2003" s="704" t="s">
        <v>579</v>
      </c>
      <c r="D2003" s="704" t="s">
        <v>533</v>
      </c>
      <c r="E2003" s="704">
        <v>0.99946299999999999</v>
      </c>
      <c r="F2003" s="704">
        <v>99.946299999999994</v>
      </c>
      <c r="H2003">
        <f t="shared" si="124"/>
        <v>4877</v>
      </c>
      <c r="I2003" t="str">
        <f t="shared" si="125"/>
        <v>Rest of Qld</v>
      </c>
    </row>
    <row r="2004" spans="1:9" x14ac:dyDescent="0.2">
      <c r="A2004" s="704">
        <v>4878</v>
      </c>
      <c r="B2004" s="704">
        <v>4878</v>
      </c>
      <c r="C2004" s="704" t="s">
        <v>579</v>
      </c>
      <c r="D2004" s="704" t="s">
        <v>533</v>
      </c>
      <c r="E2004" s="704">
        <v>0.99786600000000003</v>
      </c>
      <c r="F2004" s="704">
        <v>99.786600000000007</v>
      </c>
      <c r="H2004">
        <f t="shared" si="124"/>
        <v>4878</v>
      </c>
      <c r="I2004" t="str">
        <f t="shared" si="125"/>
        <v>Rest of Qld</v>
      </c>
    </row>
    <row r="2005" spans="1:9" x14ac:dyDescent="0.2">
      <c r="A2005" s="704">
        <v>4879</v>
      </c>
      <c r="B2005" s="704">
        <v>4879</v>
      </c>
      <c r="C2005" s="704" t="s">
        <v>579</v>
      </c>
      <c r="D2005" s="704" t="s">
        <v>533</v>
      </c>
      <c r="E2005" s="704">
        <v>0.99944</v>
      </c>
      <c r="F2005" s="704">
        <v>99.944000000000003</v>
      </c>
      <c r="H2005">
        <f t="shared" si="124"/>
        <v>4879</v>
      </c>
      <c r="I2005" t="str">
        <f t="shared" si="125"/>
        <v>Rest of Qld</v>
      </c>
    </row>
    <row r="2006" spans="1:9" x14ac:dyDescent="0.2">
      <c r="A2006" s="704">
        <v>4880</v>
      </c>
      <c r="B2006" s="704">
        <v>4880</v>
      </c>
      <c r="C2006" s="704" t="s">
        <v>579</v>
      </c>
      <c r="D2006" s="704" t="s">
        <v>533</v>
      </c>
      <c r="E2006" s="704">
        <v>1</v>
      </c>
      <c r="F2006" s="704">
        <v>100</v>
      </c>
      <c r="H2006">
        <f t="shared" si="124"/>
        <v>4880</v>
      </c>
      <c r="I2006" t="str">
        <f t="shared" si="125"/>
        <v>Rest of Qld</v>
      </c>
    </row>
    <row r="2007" spans="1:9" x14ac:dyDescent="0.2">
      <c r="A2007" s="704">
        <v>4881</v>
      </c>
      <c r="B2007" s="704">
        <v>4881</v>
      </c>
      <c r="C2007" s="704" t="s">
        <v>579</v>
      </c>
      <c r="D2007" s="704" t="s">
        <v>533</v>
      </c>
      <c r="E2007" s="704">
        <v>1</v>
      </c>
      <c r="F2007" s="704">
        <v>100</v>
      </c>
      <c r="H2007">
        <f t="shared" si="124"/>
        <v>4881</v>
      </c>
      <c r="I2007" t="str">
        <f t="shared" si="125"/>
        <v>Rest of Qld</v>
      </c>
    </row>
    <row r="2008" spans="1:9" x14ac:dyDescent="0.2">
      <c r="A2008" s="704">
        <v>4882</v>
      </c>
      <c r="B2008" s="704">
        <v>4882</v>
      </c>
      <c r="C2008" s="704" t="s">
        <v>579</v>
      </c>
      <c r="D2008" s="704" t="s">
        <v>533</v>
      </c>
      <c r="E2008" s="704">
        <v>1</v>
      </c>
      <c r="F2008" s="704">
        <v>100</v>
      </c>
      <c r="H2008">
        <f t="shared" si="124"/>
        <v>4882</v>
      </c>
      <c r="I2008" t="str">
        <f t="shared" si="125"/>
        <v>Rest of Qld</v>
      </c>
    </row>
    <row r="2009" spans="1:9" x14ac:dyDescent="0.2">
      <c r="A2009" s="704">
        <v>4883</v>
      </c>
      <c r="B2009" s="704">
        <v>4883</v>
      </c>
      <c r="C2009" s="704" t="s">
        <v>579</v>
      </c>
      <c r="D2009" s="704" t="s">
        <v>533</v>
      </c>
      <c r="E2009" s="704">
        <v>1</v>
      </c>
      <c r="F2009" s="704">
        <v>100</v>
      </c>
      <c r="H2009">
        <f t="shared" si="124"/>
        <v>4883</v>
      </c>
      <c r="I2009" t="str">
        <f t="shared" si="125"/>
        <v>Rest of Qld</v>
      </c>
    </row>
    <row r="2010" spans="1:9" x14ac:dyDescent="0.2">
      <c r="A2010" s="704">
        <v>4884</v>
      </c>
      <c r="B2010" s="704">
        <v>4884</v>
      </c>
      <c r="C2010" s="704" t="s">
        <v>579</v>
      </c>
      <c r="D2010" s="704" t="s">
        <v>533</v>
      </c>
      <c r="E2010" s="704">
        <v>1</v>
      </c>
      <c r="F2010" s="704">
        <v>100</v>
      </c>
      <c r="H2010">
        <f t="shared" si="124"/>
        <v>4884</v>
      </c>
      <c r="I2010" t="str">
        <f t="shared" si="125"/>
        <v>Rest of Qld</v>
      </c>
    </row>
    <row r="2011" spans="1:9" x14ac:dyDescent="0.2">
      <c r="A2011" s="704">
        <v>4885</v>
      </c>
      <c r="B2011" s="704">
        <v>4885</v>
      </c>
      <c r="C2011" s="704" t="s">
        <v>579</v>
      </c>
      <c r="D2011" s="704" t="s">
        <v>533</v>
      </c>
      <c r="E2011" s="704">
        <v>1</v>
      </c>
      <c r="F2011" s="704">
        <v>100</v>
      </c>
      <c r="H2011">
        <f t="shared" si="124"/>
        <v>4885</v>
      </c>
      <c r="I2011" t="str">
        <f t="shared" si="125"/>
        <v>Rest of Qld</v>
      </c>
    </row>
    <row r="2012" spans="1:9" x14ac:dyDescent="0.2">
      <c r="A2012" s="704">
        <v>4886</v>
      </c>
      <c r="B2012" s="704">
        <v>4886</v>
      </c>
      <c r="C2012" s="704" t="s">
        <v>579</v>
      </c>
      <c r="D2012" s="704" t="s">
        <v>533</v>
      </c>
      <c r="E2012" s="704">
        <v>1</v>
      </c>
      <c r="F2012" s="704">
        <v>100</v>
      </c>
      <c r="H2012">
        <f t="shared" si="124"/>
        <v>4886</v>
      </c>
      <c r="I2012" t="str">
        <f t="shared" si="125"/>
        <v>Rest of Qld</v>
      </c>
    </row>
    <row r="2013" spans="1:9" x14ac:dyDescent="0.2">
      <c r="A2013" s="704">
        <v>4887</v>
      </c>
      <c r="B2013" s="704">
        <v>4887</v>
      </c>
      <c r="C2013" s="704" t="s">
        <v>579</v>
      </c>
      <c r="D2013" s="704" t="s">
        <v>533</v>
      </c>
      <c r="E2013" s="704">
        <v>1</v>
      </c>
      <c r="F2013" s="704">
        <v>100</v>
      </c>
      <c r="H2013">
        <f t="shared" si="124"/>
        <v>4887</v>
      </c>
      <c r="I2013" t="str">
        <f t="shared" si="125"/>
        <v>Rest of Qld</v>
      </c>
    </row>
    <row r="2014" spans="1:9" x14ac:dyDescent="0.2">
      <c r="A2014" s="704">
        <v>4888</v>
      </c>
      <c r="B2014" s="704">
        <v>4888</v>
      </c>
      <c r="C2014" s="704" t="s">
        <v>579</v>
      </c>
      <c r="D2014" s="704" t="s">
        <v>533</v>
      </c>
      <c r="E2014" s="704">
        <v>1</v>
      </c>
      <c r="F2014" s="704">
        <v>100</v>
      </c>
      <c r="H2014">
        <f t="shared" si="124"/>
        <v>4888</v>
      </c>
      <c r="I2014" t="str">
        <f t="shared" si="125"/>
        <v>Rest of Qld</v>
      </c>
    </row>
    <row r="2015" spans="1:9" x14ac:dyDescent="0.2">
      <c r="A2015" s="704">
        <v>4890</v>
      </c>
      <c r="B2015" s="704">
        <v>4890</v>
      </c>
      <c r="C2015" s="704" t="s">
        <v>579</v>
      </c>
      <c r="D2015" s="704" t="s">
        <v>533</v>
      </c>
      <c r="E2015" s="704">
        <v>1</v>
      </c>
      <c r="F2015" s="704">
        <v>100</v>
      </c>
      <c r="H2015">
        <f t="shared" si="124"/>
        <v>4890</v>
      </c>
      <c r="I2015" t="str">
        <f t="shared" si="125"/>
        <v>Rest of Qld</v>
      </c>
    </row>
    <row r="2016" spans="1:9" x14ac:dyDescent="0.2">
      <c r="A2016" s="704">
        <v>4891</v>
      </c>
      <c r="B2016" s="704">
        <v>4891</v>
      </c>
      <c r="C2016" s="704" t="s">
        <v>579</v>
      </c>
      <c r="D2016" s="704" t="s">
        <v>533</v>
      </c>
      <c r="E2016" s="704">
        <v>0.96387999999999996</v>
      </c>
      <c r="F2016" s="704">
        <v>96.388000000000005</v>
      </c>
      <c r="H2016">
        <f t="shared" si="124"/>
        <v>4891</v>
      </c>
      <c r="I2016" t="str">
        <f t="shared" si="125"/>
        <v>Rest of Qld</v>
      </c>
    </row>
    <row r="2017" spans="1:9" x14ac:dyDescent="0.2">
      <c r="A2017" s="704">
        <v>4895</v>
      </c>
      <c r="B2017" s="704">
        <v>4895</v>
      </c>
      <c r="C2017" s="704" t="s">
        <v>579</v>
      </c>
      <c r="D2017" s="704" t="s">
        <v>533</v>
      </c>
      <c r="E2017" s="704">
        <v>0.99951500000000004</v>
      </c>
      <c r="F2017" s="704">
        <v>99.951499999999996</v>
      </c>
      <c r="H2017">
        <f t="shared" si="124"/>
        <v>4895</v>
      </c>
      <c r="I2017" t="str">
        <f t="shared" si="125"/>
        <v>Rest of Qld</v>
      </c>
    </row>
    <row r="2018" spans="1:9" x14ac:dyDescent="0.2">
      <c r="A2018" s="704">
        <v>5000</v>
      </c>
      <c r="B2018" s="704">
        <v>5000</v>
      </c>
      <c r="C2018" s="704" t="s">
        <v>585</v>
      </c>
      <c r="D2018" s="704" t="s">
        <v>550</v>
      </c>
      <c r="E2018" s="704">
        <v>1</v>
      </c>
      <c r="F2018" s="704">
        <v>100</v>
      </c>
      <c r="H2018">
        <f t="shared" si="124"/>
        <v>5000</v>
      </c>
      <c r="I2018" t="str">
        <f t="shared" si="125"/>
        <v>Greater Adelaide</v>
      </c>
    </row>
    <row r="2019" spans="1:9" x14ac:dyDescent="0.2">
      <c r="A2019" s="704">
        <v>5005</v>
      </c>
      <c r="B2019" s="704">
        <v>5005</v>
      </c>
      <c r="C2019" s="704" t="s">
        <v>585</v>
      </c>
      <c r="D2019" s="704" t="s">
        <v>550</v>
      </c>
      <c r="E2019" s="704">
        <v>1</v>
      </c>
      <c r="F2019" s="704">
        <v>100</v>
      </c>
      <c r="H2019">
        <f t="shared" si="124"/>
        <v>5005</v>
      </c>
      <c r="I2019" t="str">
        <f t="shared" si="125"/>
        <v>Greater Adelaide</v>
      </c>
    </row>
    <row r="2020" spans="1:9" x14ac:dyDescent="0.2">
      <c r="A2020" s="704">
        <v>5006</v>
      </c>
      <c r="B2020" s="704">
        <v>5006</v>
      </c>
      <c r="C2020" s="704" t="s">
        <v>585</v>
      </c>
      <c r="D2020" s="704" t="s">
        <v>550</v>
      </c>
      <c r="E2020" s="704">
        <v>1</v>
      </c>
      <c r="F2020" s="704">
        <v>100</v>
      </c>
      <c r="H2020">
        <f t="shared" si="124"/>
        <v>5006</v>
      </c>
      <c r="I2020" t="str">
        <f t="shared" si="125"/>
        <v>Greater Adelaide</v>
      </c>
    </row>
    <row r="2021" spans="1:9" x14ac:dyDescent="0.2">
      <c r="A2021" s="704">
        <v>5007</v>
      </c>
      <c r="B2021" s="704">
        <v>5007</v>
      </c>
      <c r="C2021" s="704" t="s">
        <v>585</v>
      </c>
      <c r="D2021" s="704" t="s">
        <v>550</v>
      </c>
      <c r="E2021" s="704">
        <v>1</v>
      </c>
      <c r="F2021" s="704">
        <v>100</v>
      </c>
      <c r="H2021">
        <f t="shared" si="124"/>
        <v>5007</v>
      </c>
      <c r="I2021" t="str">
        <f t="shared" si="125"/>
        <v>Greater Adelaide</v>
      </c>
    </row>
    <row r="2022" spans="1:9" x14ac:dyDescent="0.2">
      <c r="A2022" s="704">
        <v>5008</v>
      </c>
      <c r="B2022" s="704">
        <v>5008</v>
      </c>
      <c r="C2022" s="704" t="s">
        <v>585</v>
      </c>
      <c r="D2022" s="704" t="s">
        <v>550</v>
      </c>
      <c r="E2022" s="704">
        <v>1</v>
      </c>
      <c r="F2022" s="704">
        <v>100</v>
      </c>
      <c r="H2022">
        <f t="shared" si="124"/>
        <v>5008</v>
      </c>
      <c r="I2022" t="str">
        <f t="shared" si="125"/>
        <v>Greater Adelaide</v>
      </c>
    </row>
    <row r="2023" spans="1:9" x14ac:dyDescent="0.2">
      <c r="A2023" s="704">
        <v>5009</v>
      </c>
      <c r="B2023" s="704">
        <v>5009</v>
      </c>
      <c r="C2023" s="704" t="s">
        <v>585</v>
      </c>
      <c r="D2023" s="704" t="s">
        <v>550</v>
      </c>
      <c r="E2023" s="704">
        <v>1</v>
      </c>
      <c r="F2023" s="704">
        <v>100</v>
      </c>
      <c r="H2023">
        <f t="shared" si="124"/>
        <v>5009</v>
      </c>
      <c r="I2023" t="str">
        <f t="shared" si="125"/>
        <v>Greater Adelaide</v>
      </c>
    </row>
    <row r="2024" spans="1:9" x14ac:dyDescent="0.2">
      <c r="A2024" s="704">
        <v>5010</v>
      </c>
      <c r="B2024" s="704">
        <v>5010</v>
      </c>
      <c r="C2024" s="704" t="s">
        <v>585</v>
      </c>
      <c r="D2024" s="704" t="s">
        <v>550</v>
      </c>
      <c r="E2024" s="704">
        <v>1</v>
      </c>
      <c r="F2024" s="704">
        <v>100</v>
      </c>
      <c r="H2024">
        <f t="shared" si="124"/>
        <v>5010</v>
      </c>
      <c r="I2024" t="str">
        <f t="shared" si="125"/>
        <v>Greater Adelaide</v>
      </c>
    </row>
    <row r="2025" spans="1:9" x14ac:dyDescent="0.2">
      <c r="A2025" s="704">
        <v>5011</v>
      </c>
      <c r="B2025" s="704">
        <v>5011</v>
      </c>
      <c r="C2025" s="704" t="s">
        <v>585</v>
      </c>
      <c r="D2025" s="704" t="s">
        <v>550</v>
      </c>
      <c r="E2025" s="704">
        <v>1</v>
      </c>
      <c r="F2025" s="704">
        <v>100</v>
      </c>
      <c r="H2025">
        <f t="shared" si="124"/>
        <v>5011</v>
      </c>
      <c r="I2025" t="str">
        <f t="shared" si="125"/>
        <v>Greater Adelaide</v>
      </c>
    </row>
    <row r="2026" spans="1:9" x14ac:dyDescent="0.2">
      <c r="A2026" s="704">
        <v>5012</v>
      </c>
      <c r="B2026" s="704">
        <v>5012</v>
      </c>
      <c r="C2026" s="704" t="s">
        <v>585</v>
      </c>
      <c r="D2026" s="704" t="s">
        <v>550</v>
      </c>
      <c r="E2026" s="704">
        <v>1</v>
      </c>
      <c r="F2026" s="704">
        <v>100</v>
      </c>
      <c r="H2026">
        <f t="shared" si="124"/>
        <v>5012</v>
      </c>
      <c r="I2026" t="str">
        <f t="shared" si="125"/>
        <v>Greater Adelaide</v>
      </c>
    </row>
    <row r="2027" spans="1:9" x14ac:dyDescent="0.2">
      <c r="A2027" s="704">
        <v>5013</v>
      </c>
      <c r="B2027" s="704">
        <v>5013</v>
      </c>
      <c r="C2027" s="704" t="s">
        <v>585</v>
      </c>
      <c r="D2027" s="704" t="s">
        <v>550</v>
      </c>
      <c r="E2027" s="704">
        <v>1</v>
      </c>
      <c r="F2027" s="704">
        <v>100</v>
      </c>
      <c r="H2027">
        <f t="shared" si="124"/>
        <v>5013</v>
      </c>
      <c r="I2027" t="str">
        <f t="shared" si="125"/>
        <v>Greater Adelaide</v>
      </c>
    </row>
    <row r="2028" spans="1:9" x14ac:dyDescent="0.2">
      <c r="A2028" s="704">
        <v>5014</v>
      </c>
      <c r="B2028" s="704">
        <v>5014</v>
      </c>
      <c r="C2028" s="704" t="s">
        <v>585</v>
      </c>
      <c r="D2028" s="704" t="s">
        <v>550</v>
      </c>
      <c r="E2028" s="704">
        <v>1</v>
      </c>
      <c r="F2028" s="704">
        <v>100</v>
      </c>
      <c r="H2028">
        <f t="shared" si="124"/>
        <v>5014</v>
      </c>
      <c r="I2028" t="str">
        <f t="shared" si="125"/>
        <v>Greater Adelaide</v>
      </c>
    </row>
    <row r="2029" spans="1:9" x14ac:dyDescent="0.2">
      <c r="A2029" s="704">
        <v>5015</v>
      </c>
      <c r="B2029" s="704">
        <v>5015</v>
      </c>
      <c r="C2029" s="704" t="s">
        <v>585</v>
      </c>
      <c r="D2029" s="704" t="s">
        <v>550</v>
      </c>
      <c r="E2029" s="704">
        <v>0.99746500000000005</v>
      </c>
      <c r="F2029" s="704">
        <v>99.746499999999997</v>
      </c>
      <c r="H2029">
        <f t="shared" si="124"/>
        <v>5015</v>
      </c>
      <c r="I2029" t="str">
        <f t="shared" si="125"/>
        <v>Greater Adelaide</v>
      </c>
    </row>
    <row r="2030" spans="1:9" x14ac:dyDescent="0.2">
      <c r="A2030" s="704">
        <v>5016</v>
      </c>
      <c r="B2030" s="704">
        <v>5016</v>
      </c>
      <c r="C2030" s="704" t="s">
        <v>585</v>
      </c>
      <c r="D2030" s="704" t="s">
        <v>550</v>
      </c>
      <c r="E2030" s="704">
        <v>1</v>
      </c>
      <c r="F2030" s="704">
        <v>100</v>
      </c>
      <c r="H2030">
        <f t="shared" si="124"/>
        <v>5016</v>
      </c>
      <c r="I2030" t="str">
        <f t="shared" si="125"/>
        <v>Greater Adelaide</v>
      </c>
    </row>
    <row r="2031" spans="1:9" x14ac:dyDescent="0.2">
      <c r="A2031" s="704">
        <v>5017</v>
      </c>
      <c r="B2031" s="704">
        <v>5017</v>
      </c>
      <c r="C2031" s="704" t="s">
        <v>585</v>
      </c>
      <c r="D2031" s="704" t="s">
        <v>550</v>
      </c>
      <c r="E2031" s="704">
        <v>1</v>
      </c>
      <c r="F2031" s="704">
        <v>100</v>
      </c>
      <c r="H2031">
        <f t="shared" si="124"/>
        <v>5017</v>
      </c>
      <c r="I2031" t="str">
        <f t="shared" si="125"/>
        <v>Greater Adelaide</v>
      </c>
    </row>
    <row r="2032" spans="1:9" x14ac:dyDescent="0.2">
      <c r="A2032" s="704">
        <v>5018</v>
      </c>
      <c r="B2032" s="704">
        <v>5018</v>
      </c>
      <c r="C2032" s="704" t="s">
        <v>585</v>
      </c>
      <c r="D2032" s="704" t="s">
        <v>550</v>
      </c>
      <c r="E2032" s="704">
        <v>1</v>
      </c>
      <c r="F2032" s="704">
        <v>100</v>
      </c>
      <c r="H2032">
        <f t="shared" si="124"/>
        <v>5018</v>
      </c>
      <c r="I2032" t="str">
        <f t="shared" si="125"/>
        <v>Greater Adelaide</v>
      </c>
    </row>
    <row r="2033" spans="1:9" x14ac:dyDescent="0.2">
      <c r="A2033" s="704">
        <v>5019</v>
      </c>
      <c r="B2033" s="704">
        <v>5019</v>
      </c>
      <c r="C2033" s="704" t="s">
        <v>585</v>
      </c>
      <c r="D2033" s="704" t="s">
        <v>550</v>
      </c>
      <c r="E2033" s="704">
        <v>1</v>
      </c>
      <c r="F2033" s="704">
        <v>100</v>
      </c>
      <c r="H2033">
        <f t="shared" si="124"/>
        <v>5019</v>
      </c>
      <c r="I2033" t="str">
        <f t="shared" si="125"/>
        <v>Greater Adelaide</v>
      </c>
    </row>
    <row r="2034" spans="1:9" x14ac:dyDescent="0.2">
      <c r="A2034" s="704">
        <v>5020</v>
      </c>
      <c r="B2034" s="704">
        <v>5020</v>
      </c>
      <c r="C2034" s="704" t="s">
        <v>585</v>
      </c>
      <c r="D2034" s="704" t="s">
        <v>550</v>
      </c>
      <c r="E2034" s="704">
        <v>1</v>
      </c>
      <c r="F2034" s="704">
        <v>100</v>
      </c>
      <c r="H2034">
        <f t="shared" si="124"/>
        <v>5020</v>
      </c>
      <c r="I2034" t="str">
        <f t="shared" si="125"/>
        <v>Greater Adelaide</v>
      </c>
    </row>
    <row r="2035" spans="1:9" x14ac:dyDescent="0.2">
      <c r="A2035" s="704">
        <v>5021</v>
      </c>
      <c r="B2035" s="704">
        <v>5021</v>
      </c>
      <c r="C2035" s="704" t="s">
        <v>585</v>
      </c>
      <c r="D2035" s="704" t="s">
        <v>550</v>
      </c>
      <c r="E2035" s="704">
        <v>1</v>
      </c>
      <c r="F2035" s="704">
        <v>100</v>
      </c>
      <c r="H2035">
        <f t="shared" si="124"/>
        <v>5021</v>
      </c>
      <c r="I2035" t="str">
        <f t="shared" si="125"/>
        <v>Greater Adelaide</v>
      </c>
    </row>
    <row r="2036" spans="1:9" x14ac:dyDescent="0.2">
      <c r="A2036" s="704">
        <v>5022</v>
      </c>
      <c r="B2036" s="704">
        <v>5022</v>
      </c>
      <c r="C2036" s="704" t="s">
        <v>585</v>
      </c>
      <c r="D2036" s="704" t="s">
        <v>550</v>
      </c>
      <c r="E2036" s="704">
        <v>1</v>
      </c>
      <c r="F2036" s="704">
        <v>100</v>
      </c>
      <c r="H2036">
        <f t="shared" si="124"/>
        <v>5022</v>
      </c>
      <c r="I2036" t="str">
        <f t="shared" si="125"/>
        <v>Greater Adelaide</v>
      </c>
    </row>
    <row r="2037" spans="1:9" x14ac:dyDescent="0.2">
      <c r="A2037" s="704">
        <v>5023</v>
      </c>
      <c r="B2037" s="704">
        <v>5023</v>
      </c>
      <c r="C2037" s="704" t="s">
        <v>585</v>
      </c>
      <c r="D2037" s="704" t="s">
        <v>550</v>
      </c>
      <c r="E2037" s="704">
        <v>1</v>
      </c>
      <c r="F2037" s="704">
        <v>100</v>
      </c>
      <c r="H2037">
        <f t="shared" si="124"/>
        <v>5023</v>
      </c>
      <c r="I2037" t="str">
        <f t="shared" si="125"/>
        <v>Greater Adelaide</v>
      </c>
    </row>
    <row r="2038" spans="1:9" x14ac:dyDescent="0.2">
      <c r="A2038" s="704">
        <v>5024</v>
      </c>
      <c r="B2038" s="704">
        <v>5024</v>
      </c>
      <c r="C2038" s="704" t="s">
        <v>585</v>
      </c>
      <c r="D2038" s="704" t="s">
        <v>550</v>
      </c>
      <c r="E2038" s="704">
        <v>1</v>
      </c>
      <c r="F2038" s="704">
        <v>100</v>
      </c>
      <c r="H2038">
        <f t="shared" si="124"/>
        <v>5024</v>
      </c>
      <c r="I2038" t="str">
        <f t="shared" si="125"/>
        <v>Greater Adelaide</v>
      </c>
    </row>
    <row r="2039" spans="1:9" x14ac:dyDescent="0.2">
      <c r="A2039" s="704">
        <v>5025</v>
      </c>
      <c r="B2039" s="704">
        <v>5025</v>
      </c>
      <c r="C2039" s="704" t="s">
        <v>585</v>
      </c>
      <c r="D2039" s="704" t="s">
        <v>550</v>
      </c>
      <c r="E2039" s="704">
        <v>1</v>
      </c>
      <c r="F2039" s="704">
        <v>100</v>
      </c>
      <c r="H2039">
        <f t="shared" si="124"/>
        <v>5025</v>
      </c>
      <c r="I2039" t="str">
        <f t="shared" si="125"/>
        <v>Greater Adelaide</v>
      </c>
    </row>
    <row r="2040" spans="1:9" x14ac:dyDescent="0.2">
      <c r="A2040" s="704">
        <v>5031</v>
      </c>
      <c r="B2040" s="704">
        <v>5031</v>
      </c>
      <c r="C2040" s="704" t="s">
        <v>585</v>
      </c>
      <c r="D2040" s="704" t="s">
        <v>550</v>
      </c>
      <c r="E2040" s="704">
        <v>1</v>
      </c>
      <c r="F2040" s="704">
        <v>100</v>
      </c>
      <c r="H2040">
        <f t="shared" si="124"/>
        <v>5031</v>
      </c>
      <c r="I2040" t="str">
        <f t="shared" si="125"/>
        <v>Greater Adelaide</v>
      </c>
    </row>
    <row r="2041" spans="1:9" x14ac:dyDescent="0.2">
      <c r="A2041" s="704">
        <v>5032</v>
      </c>
      <c r="B2041" s="704">
        <v>5032</v>
      </c>
      <c r="C2041" s="704" t="s">
        <v>585</v>
      </c>
      <c r="D2041" s="704" t="s">
        <v>550</v>
      </c>
      <c r="E2041" s="704">
        <v>1</v>
      </c>
      <c r="F2041" s="704">
        <v>100</v>
      </c>
      <c r="H2041">
        <f t="shared" ref="H2041:H2104" si="126">A2041*1</f>
        <v>5032</v>
      </c>
      <c r="I2041" t="str">
        <f t="shared" ref="I2041:I2104" si="127">D2041</f>
        <v>Greater Adelaide</v>
      </c>
    </row>
    <row r="2042" spans="1:9" x14ac:dyDescent="0.2">
      <c r="A2042" s="704">
        <v>5033</v>
      </c>
      <c r="B2042" s="704">
        <v>5033</v>
      </c>
      <c r="C2042" s="704" t="s">
        <v>585</v>
      </c>
      <c r="D2042" s="704" t="s">
        <v>550</v>
      </c>
      <c r="E2042" s="704">
        <v>1</v>
      </c>
      <c r="F2042" s="704">
        <v>100</v>
      </c>
      <c r="H2042">
        <f t="shared" si="126"/>
        <v>5033</v>
      </c>
      <c r="I2042" t="str">
        <f t="shared" si="127"/>
        <v>Greater Adelaide</v>
      </c>
    </row>
    <row r="2043" spans="1:9" x14ac:dyDescent="0.2">
      <c r="A2043" s="704">
        <v>5034</v>
      </c>
      <c r="B2043" s="704">
        <v>5034</v>
      </c>
      <c r="C2043" s="704" t="s">
        <v>585</v>
      </c>
      <c r="D2043" s="704" t="s">
        <v>550</v>
      </c>
      <c r="E2043" s="704">
        <v>1</v>
      </c>
      <c r="F2043" s="704">
        <v>100</v>
      </c>
      <c r="H2043">
        <f t="shared" si="126"/>
        <v>5034</v>
      </c>
      <c r="I2043" t="str">
        <f t="shared" si="127"/>
        <v>Greater Adelaide</v>
      </c>
    </row>
    <row r="2044" spans="1:9" x14ac:dyDescent="0.2">
      <c r="A2044" s="704">
        <v>5035</v>
      </c>
      <c r="B2044" s="704">
        <v>5035</v>
      </c>
      <c r="C2044" s="704" t="s">
        <v>585</v>
      </c>
      <c r="D2044" s="704" t="s">
        <v>550</v>
      </c>
      <c r="E2044" s="704">
        <v>1</v>
      </c>
      <c r="F2044" s="704">
        <v>100</v>
      </c>
      <c r="H2044">
        <f t="shared" si="126"/>
        <v>5035</v>
      </c>
      <c r="I2044" t="str">
        <f t="shared" si="127"/>
        <v>Greater Adelaide</v>
      </c>
    </row>
    <row r="2045" spans="1:9" x14ac:dyDescent="0.2">
      <c r="A2045" s="704">
        <v>5037</v>
      </c>
      <c r="B2045" s="704">
        <v>5037</v>
      </c>
      <c r="C2045" s="704" t="s">
        <v>585</v>
      </c>
      <c r="D2045" s="704" t="s">
        <v>550</v>
      </c>
      <c r="E2045" s="704">
        <v>1</v>
      </c>
      <c r="F2045" s="704">
        <v>100</v>
      </c>
      <c r="H2045">
        <f t="shared" si="126"/>
        <v>5037</v>
      </c>
      <c r="I2045" t="str">
        <f t="shared" si="127"/>
        <v>Greater Adelaide</v>
      </c>
    </row>
    <row r="2046" spans="1:9" x14ac:dyDescent="0.2">
      <c r="A2046" s="704">
        <v>5038</v>
      </c>
      <c r="B2046" s="704">
        <v>5038</v>
      </c>
      <c r="C2046" s="704" t="s">
        <v>585</v>
      </c>
      <c r="D2046" s="704" t="s">
        <v>550</v>
      </c>
      <c r="E2046" s="704">
        <v>1</v>
      </c>
      <c r="F2046" s="704">
        <v>100</v>
      </c>
      <c r="H2046">
        <f t="shared" si="126"/>
        <v>5038</v>
      </c>
      <c r="I2046" t="str">
        <f t="shared" si="127"/>
        <v>Greater Adelaide</v>
      </c>
    </row>
    <row r="2047" spans="1:9" x14ac:dyDescent="0.2">
      <c r="A2047" s="704">
        <v>5039</v>
      </c>
      <c r="B2047" s="704">
        <v>5039</v>
      </c>
      <c r="C2047" s="704" t="s">
        <v>585</v>
      </c>
      <c r="D2047" s="704" t="s">
        <v>550</v>
      </c>
      <c r="E2047" s="704">
        <v>1</v>
      </c>
      <c r="F2047" s="704">
        <v>100</v>
      </c>
      <c r="H2047">
        <f t="shared" si="126"/>
        <v>5039</v>
      </c>
      <c r="I2047" t="str">
        <f t="shared" si="127"/>
        <v>Greater Adelaide</v>
      </c>
    </row>
    <row r="2048" spans="1:9" x14ac:dyDescent="0.2">
      <c r="A2048" s="704">
        <v>5040</v>
      </c>
      <c r="B2048" s="704">
        <v>5040</v>
      </c>
      <c r="C2048" s="704" t="s">
        <v>585</v>
      </c>
      <c r="D2048" s="704" t="s">
        <v>550</v>
      </c>
      <c r="E2048" s="704">
        <v>1</v>
      </c>
      <c r="F2048" s="704">
        <v>100</v>
      </c>
      <c r="H2048">
        <f t="shared" si="126"/>
        <v>5040</v>
      </c>
      <c r="I2048" t="str">
        <f t="shared" si="127"/>
        <v>Greater Adelaide</v>
      </c>
    </row>
    <row r="2049" spans="1:9" x14ac:dyDescent="0.2">
      <c r="A2049" s="704">
        <v>5041</v>
      </c>
      <c r="B2049" s="704">
        <v>5041</v>
      </c>
      <c r="C2049" s="704" t="s">
        <v>585</v>
      </c>
      <c r="D2049" s="704" t="s">
        <v>550</v>
      </c>
      <c r="E2049" s="704">
        <v>1</v>
      </c>
      <c r="F2049" s="704">
        <v>100</v>
      </c>
      <c r="H2049">
        <f t="shared" si="126"/>
        <v>5041</v>
      </c>
      <c r="I2049" t="str">
        <f t="shared" si="127"/>
        <v>Greater Adelaide</v>
      </c>
    </row>
    <row r="2050" spans="1:9" x14ac:dyDescent="0.2">
      <c r="A2050" s="704">
        <v>5042</v>
      </c>
      <c r="B2050" s="704">
        <v>5042</v>
      </c>
      <c r="C2050" s="704" t="s">
        <v>585</v>
      </c>
      <c r="D2050" s="704" t="s">
        <v>550</v>
      </c>
      <c r="E2050" s="704">
        <v>1</v>
      </c>
      <c r="F2050" s="704">
        <v>100</v>
      </c>
      <c r="H2050">
        <f t="shared" si="126"/>
        <v>5042</v>
      </c>
      <c r="I2050" t="str">
        <f t="shared" si="127"/>
        <v>Greater Adelaide</v>
      </c>
    </row>
    <row r="2051" spans="1:9" x14ac:dyDescent="0.2">
      <c r="A2051" s="704">
        <v>5043</v>
      </c>
      <c r="B2051" s="704">
        <v>5043</v>
      </c>
      <c r="C2051" s="704" t="s">
        <v>585</v>
      </c>
      <c r="D2051" s="704" t="s">
        <v>550</v>
      </c>
      <c r="E2051" s="704">
        <v>1</v>
      </c>
      <c r="F2051" s="704">
        <v>100</v>
      </c>
      <c r="H2051">
        <f t="shared" si="126"/>
        <v>5043</v>
      </c>
      <c r="I2051" t="str">
        <f t="shared" si="127"/>
        <v>Greater Adelaide</v>
      </c>
    </row>
    <row r="2052" spans="1:9" x14ac:dyDescent="0.2">
      <c r="A2052" s="704">
        <v>5044</v>
      </c>
      <c r="B2052" s="704">
        <v>5044</v>
      </c>
      <c r="C2052" s="704" t="s">
        <v>585</v>
      </c>
      <c r="D2052" s="704" t="s">
        <v>550</v>
      </c>
      <c r="E2052" s="704">
        <v>1</v>
      </c>
      <c r="F2052" s="704">
        <v>100</v>
      </c>
      <c r="H2052">
        <f t="shared" si="126"/>
        <v>5044</v>
      </c>
      <c r="I2052" t="str">
        <f t="shared" si="127"/>
        <v>Greater Adelaide</v>
      </c>
    </row>
    <row r="2053" spans="1:9" x14ac:dyDescent="0.2">
      <c r="A2053" s="704">
        <v>5045</v>
      </c>
      <c r="B2053" s="704">
        <v>5045</v>
      </c>
      <c r="C2053" s="704" t="s">
        <v>585</v>
      </c>
      <c r="D2053" s="704" t="s">
        <v>550</v>
      </c>
      <c r="E2053" s="704">
        <v>1</v>
      </c>
      <c r="F2053" s="704">
        <v>100</v>
      </c>
      <c r="H2053">
        <f t="shared" si="126"/>
        <v>5045</v>
      </c>
      <c r="I2053" t="str">
        <f t="shared" si="127"/>
        <v>Greater Adelaide</v>
      </c>
    </row>
    <row r="2054" spans="1:9" x14ac:dyDescent="0.2">
      <c r="A2054" s="704">
        <v>5046</v>
      </c>
      <c r="B2054" s="704">
        <v>5046</v>
      </c>
      <c r="C2054" s="704" t="s">
        <v>585</v>
      </c>
      <c r="D2054" s="704" t="s">
        <v>550</v>
      </c>
      <c r="E2054" s="704">
        <v>1</v>
      </c>
      <c r="F2054" s="704">
        <v>100</v>
      </c>
      <c r="H2054">
        <f t="shared" si="126"/>
        <v>5046</v>
      </c>
      <c r="I2054" t="str">
        <f t="shared" si="127"/>
        <v>Greater Adelaide</v>
      </c>
    </row>
    <row r="2055" spans="1:9" x14ac:dyDescent="0.2">
      <c r="A2055" s="704">
        <v>5047</v>
      </c>
      <c r="B2055" s="704">
        <v>5047</v>
      </c>
      <c r="C2055" s="704" t="s">
        <v>585</v>
      </c>
      <c r="D2055" s="704" t="s">
        <v>550</v>
      </c>
      <c r="E2055" s="704">
        <v>1</v>
      </c>
      <c r="F2055" s="704">
        <v>100</v>
      </c>
      <c r="H2055">
        <f t="shared" si="126"/>
        <v>5047</v>
      </c>
      <c r="I2055" t="str">
        <f t="shared" si="127"/>
        <v>Greater Adelaide</v>
      </c>
    </row>
    <row r="2056" spans="1:9" x14ac:dyDescent="0.2">
      <c r="A2056" s="704">
        <v>5048</v>
      </c>
      <c r="B2056" s="704">
        <v>5048</v>
      </c>
      <c r="C2056" s="704" t="s">
        <v>585</v>
      </c>
      <c r="D2056" s="704" t="s">
        <v>550</v>
      </c>
      <c r="E2056" s="704">
        <v>0.99108300000000005</v>
      </c>
      <c r="F2056" s="704">
        <v>99.1083</v>
      </c>
      <c r="H2056">
        <f t="shared" si="126"/>
        <v>5048</v>
      </c>
      <c r="I2056" t="str">
        <f t="shared" si="127"/>
        <v>Greater Adelaide</v>
      </c>
    </row>
    <row r="2057" spans="1:9" x14ac:dyDescent="0.2">
      <c r="A2057" s="704">
        <v>5049</v>
      </c>
      <c r="B2057" s="704">
        <v>5049</v>
      </c>
      <c r="C2057" s="704" t="s">
        <v>585</v>
      </c>
      <c r="D2057" s="704" t="s">
        <v>550</v>
      </c>
      <c r="E2057" s="704">
        <v>1</v>
      </c>
      <c r="F2057" s="704">
        <v>100</v>
      </c>
      <c r="H2057">
        <f t="shared" si="126"/>
        <v>5049</v>
      </c>
      <c r="I2057" t="str">
        <f t="shared" si="127"/>
        <v>Greater Adelaide</v>
      </c>
    </row>
    <row r="2058" spans="1:9" x14ac:dyDescent="0.2">
      <c r="A2058" s="704">
        <v>5050</v>
      </c>
      <c r="B2058" s="704">
        <v>5050</v>
      </c>
      <c r="C2058" s="704" t="s">
        <v>585</v>
      </c>
      <c r="D2058" s="704" t="s">
        <v>550</v>
      </c>
      <c r="E2058" s="704">
        <v>1</v>
      </c>
      <c r="F2058" s="704">
        <v>100</v>
      </c>
      <c r="H2058">
        <f t="shared" si="126"/>
        <v>5050</v>
      </c>
      <c r="I2058" t="str">
        <f t="shared" si="127"/>
        <v>Greater Adelaide</v>
      </c>
    </row>
    <row r="2059" spans="1:9" x14ac:dyDescent="0.2">
      <c r="A2059" s="704">
        <v>5051</v>
      </c>
      <c r="B2059" s="704">
        <v>5051</v>
      </c>
      <c r="C2059" s="704" t="s">
        <v>585</v>
      </c>
      <c r="D2059" s="704" t="s">
        <v>550</v>
      </c>
      <c r="E2059" s="704">
        <v>1</v>
      </c>
      <c r="F2059" s="704">
        <v>100</v>
      </c>
      <c r="H2059">
        <f t="shared" si="126"/>
        <v>5051</v>
      </c>
      <c r="I2059" t="str">
        <f t="shared" si="127"/>
        <v>Greater Adelaide</v>
      </c>
    </row>
    <row r="2060" spans="1:9" x14ac:dyDescent="0.2">
      <c r="A2060" s="704">
        <v>5052</v>
      </c>
      <c r="B2060" s="704">
        <v>5052</v>
      </c>
      <c r="C2060" s="704" t="s">
        <v>585</v>
      </c>
      <c r="D2060" s="704" t="s">
        <v>550</v>
      </c>
      <c r="E2060" s="704">
        <v>1</v>
      </c>
      <c r="F2060" s="704">
        <v>100</v>
      </c>
      <c r="H2060">
        <f t="shared" si="126"/>
        <v>5052</v>
      </c>
      <c r="I2060" t="str">
        <f t="shared" si="127"/>
        <v>Greater Adelaide</v>
      </c>
    </row>
    <row r="2061" spans="1:9" x14ac:dyDescent="0.2">
      <c r="A2061" s="704">
        <v>5061</v>
      </c>
      <c r="B2061" s="704">
        <v>5061</v>
      </c>
      <c r="C2061" s="704" t="s">
        <v>585</v>
      </c>
      <c r="D2061" s="704" t="s">
        <v>550</v>
      </c>
      <c r="E2061" s="704">
        <v>1</v>
      </c>
      <c r="F2061" s="704">
        <v>100</v>
      </c>
      <c r="H2061">
        <f t="shared" si="126"/>
        <v>5061</v>
      </c>
      <c r="I2061" t="str">
        <f t="shared" si="127"/>
        <v>Greater Adelaide</v>
      </c>
    </row>
    <row r="2062" spans="1:9" x14ac:dyDescent="0.2">
      <c r="A2062" s="704">
        <v>5062</v>
      </c>
      <c r="B2062" s="704">
        <v>5062</v>
      </c>
      <c r="C2062" s="704" t="s">
        <v>585</v>
      </c>
      <c r="D2062" s="704" t="s">
        <v>550</v>
      </c>
      <c r="E2062" s="704">
        <v>1</v>
      </c>
      <c r="F2062" s="704">
        <v>100</v>
      </c>
      <c r="H2062">
        <f t="shared" si="126"/>
        <v>5062</v>
      </c>
      <c r="I2062" t="str">
        <f t="shared" si="127"/>
        <v>Greater Adelaide</v>
      </c>
    </row>
    <row r="2063" spans="1:9" x14ac:dyDescent="0.2">
      <c r="A2063" s="704">
        <v>5063</v>
      </c>
      <c r="B2063" s="704">
        <v>5063</v>
      </c>
      <c r="C2063" s="704" t="s">
        <v>585</v>
      </c>
      <c r="D2063" s="704" t="s">
        <v>550</v>
      </c>
      <c r="E2063" s="704">
        <v>1</v>
      </c>
      <c r="F2063" s="704">
        <v>100</v>
      </c>
      <c r="H2063">
        <f t="shared" si="126"/>
        <v>5063</v>
      </c>
      <c r="I2063" t="str">
        <f t="shared" si="127"/>
        <v>Greater Adelaide</v>
      </c>
    </row>
    <row r="2064" spans="1:9" x14ac:dyDescent="0.2">
      <c r="A2064" s="704">
        <v>5064</v>
      </c>
      <c r="B2064" s="704">
        <v>5064</v>
      </c>
      <c r="C2064" s="704" t="s">
        <v>585</v>
      </c>
      <c r="D2064" s="704" t="s">
        <v>550</v>
      </c>
      <c r="E2064" s="704">
        <v>1</v>
      </c>
      <c r="F2064" s="704">
        <v>100</v>
      </c>
      <c r="H2064">
        <f t="shared" si="126"/>
        <v>5064</v>
      </c>
      <c r="I2064" t="str">
        <f t="shared" si="127"/>
        <v>Greater Adelaide</v>
      </c>
    </row>
    <row r="2065" spans="1:9" x14ac:dyDescent="0.2">
      <c r="A2065" s="704">
        <v>5065</v>
      </c>
      <c r="B2065" s="704">
        <v>5065</v>
      </c>
      <c r="C2065" s="704" t="s">
        <v>585</v>
      </c>
      <c r="D2065" s="704" t="s">
        <v>550</v>
      </c>
      <c r="E2065" s="704">
        <v>1</v>
      </c>
      <c r="F2065" s="704">
        <v>100</v>
      </c>
      <c r="H2065">
        <f t="shared" si="126"/>
        <v>5065</v>
      </c>
      <c r="I2065" t="str">
        <f t="shared" si="127"/>
        <v>Greater Adelaide</v>
      </c>
    </row>
    <row r="2066" spans="1:9" x14ac:dyDescent="0.2">
      <c r="A2066" s="704">
        <v>5066</v>
      </c>
      <c r="B2066" s="704">
        <v>5066</v>
      </c>
      <c r="C2066" s="704" t="s">
        <v>585</v>
      </c>
      <c r="D2066" s="704" t="s">
        <v>550</v>
      </c>
      <c r="E2066" s="704">
        <v>1</v>
      </c>
      <c r="F2066" s="704">
        <v>100</v>
      </c>
      <c r="H2066">
        <f t="shared" si="126"/>
        <v>5066</v>
      </c>
      <c r="I2066" t="str">
        <f t="shared" si="127"/>
        <v>Greater Adelaide</v>
      </c>
    </row>
    <row r="2067" spans="1:9" x14ac:dyDescent="0.2">
      <c r="A2067" s="704">
        <v>5067</v>
      </c>
      <c r="B2067" s="704">
        <v>5067</v>
      </c>
      <c r="C2067" s="704" t="s">
        <v>585</v>
      </c>
      <c r="D2067" s="704" t="s">
        <v>550</v>
      </c>
      <c r="E2067" s="704">
        <v>1</v>
      </c>
      <c r="F2067" s="704">
        <v>100</v>
      </c>
      <c r="H2067">
        <f t="shared" si="126"/>
        <v>5067</v>
      </c>
      <c r="I2067" t="str">
        <f t="shared" si="127"/>
        <v>Greater Adelaide</v>
      </c>
    </row>
    <row r="2068" spans="1:9" x14ac:dyDescent="0.2">
      <c r="A2068" s="704">
        <v>5068</v>
      </c>
      <c r="B2068" s="704">
        <v>5068</v>
      </c>
      <c r="C2068" s="704" t="s">
        <v>585</v>
      </c>
      <c r="D2068" s="704" t="s">
        <v>550</v>
      </c>
      <c r="E2068" s="704">
        <v>1</v>
      </c>
      <c r="F2068" s="704">
        <v>100</v>
      </c>
      <c r="H2068">
        <f t="shared" si="126"/>
        <v>5068</v>
      </c>
      <c r="I2068" t="str">
        <f t="shared" si="127"/>
        <v>Greater Adelaide</v>
      </c>
    </row>
    <row r="2069" spans="1:9" x14ac:dyDescent="0.2">
      <c r="A2069" s="704">
        <v>5069</v>
      </c>
      <c r="B2069" s="704">
        <v>5069</v>
      </c>
      <c r="C2069" s="704" t="s">
        <v>585</v>
      </c>
      <c r="D2069" s="704" t="s">
        <v>550</v>
      </c>
      <c r="E2069" s="704">
        <v>1</v>
      </c>
      <c r="F2069" s="704">
        <v>100</v>
      </c>
      <c r="H2069">
        <f t="shared" si="126"/>
        <v>5069</v>
      </c>
      <c r="I2069" t="str">
        <f t="shared" si="127"/>
        <v>Greater Adelaide</v>
      </c>
    </row>
    <row r="2070" spans="1:9" x14ac:dyDescent="0.2">
      <c r="A2070" s="704">
        <v>5070</v>
      </c>
      <c r="B2070" s="704">
        <v>5070</v>
      </c>
      <c r="C2070" s="704" t="s">
        <v>585</v>
      </c>
      <c r="D2070" s="704" t="s">
        <v>550</v>
      </c>
      <c r="E2070" s="704">
        <v>1</v>
      </c>
      <c r="F2070" s="704">
        <v>100</v>
      </c>
      <c r="H2070">
        <f t="shared" si="126"/>
        <v>5070</v>
      </c>
      <c r="I2070" t="str">
        <f t="shared" si="127"/>
        <v>Greater Adelaide</v>
      </c>
    </row>
    <row r="2071" spans="1:9" x14ac:dyDescent="0.2">
      <c r="A2071" s="704">
        <v>5072</v>
      </c>
      <c r="B2071" s="704">
        <v>5072</v>
      </c>
      <c r="C2071" s="704" t="s">
        <v>585</v>
      </c>
      <c r="D2071" s="704" t="s">
        <v>550</v>
      </c>
      <c r="E2071" s="704">
        <v>1</v>
      </c>
      <c r="F2071" s="704">
        <v>100</v>
      </c>
      <c r="H2071">
        <f t="shared" si="126"/>
        <v>5072</v>
      </c>
      <c r="I2071" t="str">
        <f t="shared" si="127"/>
        <v>Greater Adelaide</v>
      </c>
    </row>
    <row r="2072" spans="1:9" x14ac:dyDescent="0.2">
      <c r="A2072" s="704">
        <v>5073</v>
      </c>
      <c r="B2072" s="704">
        <v>5073</v>
      </c>
      <c r="C2072" s="704" t="s">
        <v>585</v>
      </c>
      <c r="D2072" s="704" t="s">
        <v>550</v>
      </c>
      <c r="E2072" s="704">
        <v>1</v>
      </c>
      <c r="F2072" s="704">
        <v>100</v>
      </c>
      <c r="H2072">
        <f t="shared" si="126"/>
        <v>5073</v>
      </c>
      <c r="I2072" t="str">
        <f t="shared" si="127"/>
        <v>Greater Adelaide</v>
      </c>
    </row>
    <row r="2073" spans="1:9" x14ac:dyDescent="0.2">
      <c r="A2073" s="704">
        <v>5074</v>
      </c>
      <c r="B2073" s="704">
        <v>5074</v>
      </c>
      <c r="C2073" s="704" t="s">
        <v>585</v>
      </c>
      <c r="D2073" s="704" t="s">
        <v>550</v>
      </c>
      <c r="E2073" s="704">
        <v>1</v>
      </c>
      <c r="F2073" s="704">
        <v>100</v>
      </c>
      <c r="H2073">
        <f t="shared" si="126"/>
        <v>5074</v>
      </c>
      <c r="I2073" t="str">
        <f t="shared" si="127"/>
        <v>Greater Adelaide</v>
      </c>
    </row>
    <row r="2074" spans="1:9" x14ac:dyDescent="0.2">
      <c r="A2074" s="704">
        <v>5075</v>
      </c>
      <c r="B2074" s="704">
        <v>5075</v>
      </c>
      <c r="C2074" s="704" t="s">
        <v>585</v>
      </c>
      <c r="D2074" s="704" t="s">
        <v>550</v>
      </c>
      <c r="E2074" s="704">
        <v>1</v>
      </c>
      <c r="F2074" s="704">
        <v>100</v>
      </c>
      <c r="H2074">
        <f t="shared" si="126"/>
        <v>5075</v>
      </c>
      <c r="I2074" t="str">
        <f t="shared" si="127"/>
        <v>Greater Adelaide</v>
      </c>
    </row>
    <row r="2075" spans="1:9" x14ac:dyDescent="0.2">
      <c r="A2075" s="704">
        <v>5076</v>
      </c>
      <c r="B2075" s="704">
        <v>5076</v>
      </c>
      <c r="C2075" s="704" t="s">
        <v>585</v>
      </c>
      <c r="D2075" s="704" t="s">
        <v>550</v>
      </c>
      <c r="E2075" s="704">
        <v>1</v>
      </c>
      <c r="F2075" s="704">
        <v>100</v>
      </c>
      <c r="H2075">
        <f t="shared" si="126"/>
        <v>5076</v>
      </c>
      <c r="I2075" t="str">
        <f t="shared" si="127"/>
        <v>Greater Adelaide</v>
      </c>
    </row>
    <row r="2076" spans="1:9" x14ac:dyDescent="0.2">
      <c r="A2076" s="704">
        <v>5081</v>
      </c>
      <c r="B2076" s="704">
        <v>5081</v>
      </c>
      <c r="C2076" s="704" t="s">
        <v>585</v>
      </c>
      <c r="D2076" s="704" t="s">
        <v>550</v>
      </c>
      <c r="E2076" s="704">
        <v>1</v>
      </c>
      <c r="F2076" s="704">
        <v>100</v>
      </c>
      <c r="H2076">
        <f t="shared" si="126"/>
        <v>5081</v>
      </c>
      <c r="I2076" t="str">
        <f t="shared" si="127"/>
        <v>Greater Adelaide</v>
      </c>
    </row>
    <row r="2077" spans="1:9" x14ac:dyDescent="0.2">
      <c r="A2077" s="704">
        <v>5082</v>
      </c>
      <c r="B2077" s="704">
        <v>5082</v>
      </c>
      <c r="C2077" s="704" t="s">
        <v>585</v>
      </c>
      <c r="D2077" s="704" t="s">
        <v>550</v>
      </c>
      <c r="E2077" s="704">
        <v>1</v>
      </c>
      <c r="F2077" s="704">
        <v>100</v>
      </c>
      <c r="H2077">
        <f t="shared" si="126"/>
        <v>5082</v>
      </c>
      <c r="I2077" t="str">
        <f t="shared" si="127"/>
        <v>Greater Adelaide</v>
      </c>
    </row>
    <row r="2078" spans="1:9" x14ac:dyDescent="0.2">
      <c r="A2078" s="704">
        <v>5083</v>
      </c>
      <c r="B2078" s="704">
        <v>5083</v>
      </c>
      <c r="C2078" s="704" t="s">
        <v>585</v>
      </c>
      <c r="D2078" s="704" t="s">
        <v>550</v>
      </c>
      <c r="E2078" s="704">
        <v>1</v>
      </c>
      <c r="F2078" s="704">
        <v>100</v>
      </c>
      <c r="H2078">
        <f t="shared" si="126"/>
        <v>5083</v>
      </c>
      <c r="I2078" t="str">
        <f t="shared" si="127"/>
        <v>Greater Adelaide</v>
      </c>
    </row>
    <row r="2079" spans="1:9" x14ac:dyDescent="0.2">
      <c r="A2079" s="704">
        <v>5084</v>
      </c>
      <c r="B2079" s="704">
        <v>5084</v>
      </c>
      <c r="C2079" s="704" t="s">
        <v>585</v>
      </c>
      <c r="D2079" s="704" t="s">
        <v>550</v>
      </c>
      <c r="E2079" s="704">
        <v>1</v>
      </c>
      <c r="F2079" s="704">
        <v>100</v>
      </c>
      <c r="H2079">
        <f t="shared" si="126"/>
        <v>5084</v>
      </c>
      <c r="I2079" t="str">
        <f t="shared" si="127"/>
        <v>Greater Adelaide</v>
      </c>
    </row>
    <row r="2080" spans="1:9" x14ac:dyDescent="0.2">
      <c r="A2080" s="704">
        <v>5085</v>
      </c>
      <c r="B2080" s="704">
        <v>5085</v>
      </c>
      <c r="C2080" s="704" t="s">
        <v>585</v>
      </c>
      <c r="D2080" s="704" t="s">
        <v>550</v>
      </c>
      <c r="E2080" s="704">
        <v>1</v>
      </c>
      <c r="F2080" s="704">
        <v>100</v>
      </c>
      <c r="H2080">
        <f t="shared" si="126"/>
        <v>5085</v>
      </c>
      <c r="I2080" t="str">
        <f t="shared" si="127"/>
        <v>Greater Adelaide</v>
      </c>
    </row>
    <row r="2081" spans="1:9" x14ac:dyDescent="0.2">
      <c r="A2081" s="704">
        <v>5086</v>
      </c>
      <c r="B2081" s="704">
        <v>5086</v>
      </c>
      <c r="C2081" s="704" t="s">
        <v>585</v>
      </c>
      <c r="D2081" s="704" t="s">
        <v>550</v>
      </c>
      <c r="E2081" s="704">
        <v>1</v>
      </c>
      <c r="F2081" s="704">
        <v>100</v>
      </c>
      <c r="H2081">
        <f t="shared" si="126"/>
        <v>5086</v>
      </c>
      <c r="I2081" t="str">
        <f t="shared" si="127"/>
        <v>Greater Adelaide</v>
      </c>
    </row>
    <row r="2082" spans="1:9" x14ac:dyDescent="0.2">
      <c r="A2082" s="704">
        <v>5087</v>
      </c>
      <c r="B2082" s="704">
        <v>5087</v>
      </c>
      <c r="C2082" s="704" t="s">
        <v>585</v>
      </c>
      <c r="D2082" s="704" t="s">
        <v>550</v>
      </c>
      <c r="E2082" s="704">
        <v>1</v>
      </c>
      <c r="F2082" s="704">
        <v>100</v>
      </c>
      <c r="H2082">
        <f t="shared" si="126"/>
        <v>5087</v>
      </c>
      <c r="I2082" t="str">
        <f t="shared" si="127"/>
        <v>Greater Adelaide</v>
      </c>
    </row>
    <row r="2083" spans="1:9" x14ac:dyDescent="0.2">
      <c r="A2083" s="704">
        <v>5088</v>
      </c>
      <c r="B2083" s="704">
        <v>5088</v>
      </c>
      <c r="C2083" s="704" t="s">
        <v>585</v>
      </c>
      <c r="D2083" s="704" t="s">
        <v>550</v>
      </c>
      <c r="E2083" s="704">
        <v>1</v>
      </c>
      <c r="F2083" s="704">
        <v>100</v>
      </c>
      <c r="H2083">
        <f t="shared" si="126"/>
        <v>5088</v>
      </c>
      <c r="I2083" t="str">
        <f t="shared" si="127"/>
        <v>Greater Adelaide</v>
      </c>
    </row>
    <row r="2084" spans="1:9" x14ac:dyDescent="0.2">
      <c r="A2084" s="704">
        <v>5089</v>
      </c>
      <c r="B2084" s="704">
        <v>5089</v>
      </c>
      <c r="C2084" s="704" t="s">
        <v>585</v>
      </c>
      <c r="D2084" s="704" t="s">
        <v>550</v>
      </c>
      <c r="E2084" s="704">
        <v>1</v>
      </c>
      <c r="F2084" s="704">
        <v>100</v>
      </c>
      <c r="H2084">
        <f t="shared" si="126"/>
        <v>5089</v>
      </c>
      <c r="I2084" t="str">
        <f t="shared" si="127"/>
        <v>Greater Adelaide</v>
      </c>
    </row>
    <row r="2085" spans="1:9" x14ac:dyDescent="0.2">
      <c r="A2085" s="704">
        <v>5090</v>
      </c>
      <c r="B2085" s="704">
        <v>5090</v>
      </c>
      <c r="C2085" s="704" t="s">
        <v>585</v>
      </c>
      <c r="D2085" s="704" t="s">
        <v>550</v>
      </c>
      <c r="E2085" s="704">
        <v>1</v>
      </c>
      <c r="F2085" s="704">
        <v>100</v>
      </c>
      <c r="H2085">
        <f t="shared" si="126"/>
        <v>5090</v>
      </c>
      <c r="I2085" t="str">
        <f t="shared" si="127"/>
        <v>Greater Adelaide</v>
      </c>
    </row>
    <row r="2086" spans="1:9" x14ac:dyDescent="0.2">
      <c r="A2086" s="704">
        <v>5091</v>
      </c>
      <c r="B2086" s="704">
        <v>5091</v>
      </c>
      <c r="C2086" s="704" t="s">
        <v>585</v>
      </c>
      <c r="D2086" s="704" t="s">
        <v>550</v>
      </c>
      <c r="E2086" s="704">
        <v>1</v>
      </c>
      <c r="F2086" s="704">
        <v>100</v>
      </c>
      <c r="H2086">
        <f t="shared" si="126"/>
        <v>5091</v>
      </c>
      <c r="I2086" t="str">
        <f t="shared" si="127"/>
        <v>Greater Adelaide</v>
      </c>
    </row>
    <row r="2087" spans="1:9" x14ac:dyDescent="0.2">
      <c r="A2087" s="704">
        <v>5092</v>
      </c>
      <c r="B2087" s="704">
        <v>5092</v>
      </c>
      <c r="C2087" s="704" t="s">
        <v>585</v>
      </c>
      <c r="D2087" s="704" t="s">
        <v>550</v>
      </c>
      <c r="E2087" s="704">
        <v>1</v>
      </c>
      <c r="F2087" s="704">
        <v>100</v>
      </c>
      <c r="H2087">
        <f t="shared" si="126"/>
        <v>5092</v>
      </c>
      <c r="I2087" t="str">
        <f t="shared" si="127"/>
        <v>Greater Adelaide</v>
      </c>
    </row>
    <row r="2088" spans="1:9" x14ac:dyDescent="0.2">
      <c r="A2088" s="704">
        <v>5093</v>
      </c>
      <c r="B2088" s="704">
        <v>5093</v>
      </c>
      <c r="C2088" s="704" t="s">
        <v>585</v>
      </c>
      <c r="D2088" s="704" t="s">
        <v>550</v>
      </c>
      <c r="E2088" s="704">
        <v>1</v>
      </c>
      <c r="F2088" s="704">
        <v>100</v>
      </c>
      <c r="H2088">
        <f t="shared" si="126"/>
        <v>5093</v>
      </c>
      <c r="I2088" t="str">
        <f t="shared" si="127"/>
        <v>Greater Adelaide</v>
      </c>
    </row>
    <row r="2089" spans="1:9" x14ac:dyDescent="0.2">
      <c r="A2089" s="704">
        <v>5094</v>
      </c>
      <c r="B2089" s="704">
        <v>5094</v>
      </c>
      <c r="C2089" s="704" t="s">
        <v>585</v>
      </c>
      <c r="D2089" s="704" t="s">
        <v>550</v>
      </c>
      <c r="E2089" s="704">
        <v>1</v>
      </c>
      <c r="F2089" s="704">
        <v>100</v>
      </c>
      <c r="H2089">
        <f t="shared" si="126"/>
        <v>5094</v>
      </c>
      <c r="I2089" t="str">
        <f t="shared" si="127"/>
        <v>Greater Adelaide</v>
      </c>
    </row>
    <row r="2090" spans="1:9" x14ac:dyDescent="0.2">
      <c r="A2090" s="704">
        <v>5095</v>
      </c>
      <c r="B2090" s="704">
        <v>5095</v>
      </c>
      <c r="C2090" s="704" t="s">
        <v>585</v>
      </c>
      <c r="D2090" s="704" t="s">
        <v>550</v>
      </c>
      <c r="E2090" s="704">
        <v>1</v>
      </c>
      <c r="F2090" s="704">
        <v>100</v>
      </c>
      <c r="H2090">
        <f t="shared" si="126"/>
        <v>5095</v>
      </c>
      <c r="I2090" t="str">
        <f t="shared" si="127"/>
        <v>Greater Adelaide</v>
      </c>
    </row>
    <row r="2091" spans="1:9" x14ac:dyDescent="0.2">
      <c r="A2091" s="704">
        <v>5096</v>
      </c>
      <c r="B2091" s="704">
        <v>5096</v>
      </c>
      <c r="C2091" s="704" t="s">
        <v>585</v>
      </c>
      <c r="D2091" s="704" t="s">
        <v>550</v>
      </c>
      <c r="E2091" s="704">
        <v>1</v>
      </c>
      <c r="F2091" s="704">
        <v>100</v>
      </c>
      <c r="H2091">
        <f t="shared" si="126"/>
        <v>5096</v>
      </c>
      <c r="I2091" t="str">
        <f t="shared" si="127"/>
        <v>Greater Adelaide</v>
      </c>
    </row>
    <row r="2092" spans="1:9" x14ac:dyDescent="0.2">
      <c r="A2092" s="704">
        <v>5097</v>
      </c>
      <c r="B2092" s="704">
        <v>5097</v>
      </c>
      <c r="C2092" s="704" t="s">
        <v>585</v>
      </c>
      <c r="D2092" s="704" t="s">
        <v>550</v>
      </c>
      <c r="E2092" s="704">
        <v>1</v>
      </c>
      <c r="F2092" s="704">
        <v>100</v>
      </c>
      <c r="H2092">
        <f t="shared" si="126"/>
        <v>5097</v>
      </c>
      <c r="I2092" t="str">
        <f t="shared" si="127"/>
        <v>Greater Adelaide</v>
      </c>
    </row>
    <row r="2093" spans="1:9" x14ac:dyDescent="0.2">
      <c r="A2093" s="704">
        <v>5098</v>
      </c>
      <c r="B2093" s="704">
        <v>5098</v>
      </c>
      <c r="C2093" s="704" t="s">
        <v>585</v>
      </c>
      <c r="D2093" s="704" t="s">
        <v>550</v>
      </c>
      <c r="E2093" s="704">
        <v>1</v>
      </c>
      <c r="F2093" s="704">
        <v>100</v>
      </c>
      <c r="H2093">
        <f t="shared" si="126"/>
        <v>5098</v>
      </c>
      <c r="I2093" t="str">
        <f t="shared" si="127"/>
        <v>Greater Adelaide</v>
      </c>
    </row>
    <row r="2094" spans="1:9" x14ac:dyDescent="0.2">
      <c r="A2094" s="704">
        <v>5106</v>
      </c>
      <c r="B2094" s="704">
        <v>5106</v>
      </c>
      <c r="C2094" s="704" t="s">
        <v>585</v>
      </c>
      <c r="D2094" s="704" t="s">
        <v>550</v>
      </c>
      <c r="E2094" s="704">
        <v>1</v>
      </c>
      <c r="F2094" s="704">
        <v>100</v>
      </c>
      <c r="H2094">
        <f t="shared" si="126"/>
        <v>5106</v>
      </c>
      <c r="I2094" t="str">
        <f t="shared" si="127"/>
        <v>Greater Adelaide</v>
      </c>
    </row>
    <row r="2095" spans="1:9" x14ac:dyDescent="0.2">
      <c r="A2095" s="704">
        <v>5107</v>
      </c>
      <c r="B2095" s="704">
        <v>5107</v>
      </c>
      <c r="C2095" s="704" t="s">
        <v>585</v>
      </c>
      <c r="D2095" s="704" t="s">
        <v>550</v>
      </c>
      <c r="E2095" s="704">
        <v>1</v>
      </c>
      <c r="F2095" s="704">
        <v>100</v>
      </c>
      <c r="H2095">
        <f t="shared" si="126"/>
        <v>5107</v>
      </c>
      <c r="I2095" t="str">
        <f t="shared" si="127"/>
        <v>Greater Adelaide</v>
      </c>
    </row>
    <row r="2096" spans="1:9" x14ac:dyDescent="0.2">
      <c r="A2096" s="704">
        <v>5108</v>
      </c>
      <c r="B2096" s="704">
        <v>5108</v>
      </c>
      <c r="C2096" s="704" t="s">
        <v>585</v>
      </c>
      <c r="D2096" s="704" t="s">
        <v>550</v>
      </c>
      <c r="E2096" s="704">
        <v>1</v>
      </c>
      <c r="F2096" s="704">
        <v>100</v>
      </c>
      <c r="H2096">
        <f t="shared" si="126"/>
        <v>5108</v>
      </c>
      <c r="I2096" t="str">
        <f t="shared" si="127"/>
        <v>Greater Adelaide</v>
      </c>
    </row>
    <row r="2097" spans="1:9" x14ac:dyDescent="0.2">
      <c r="A2097" s="704">
        <v>5109</v>
      </c>
      <c r="B2097" s="704">
        <v>5109</v>
      </c>
      <c r="C2097" s="704" t="s">
        <v>585</v>
      </c>
      <c r="D2097" s="704" t="s">
        <v>550</v>
      </c>
      <c r="E2097" s="704">
        <v>1</v>
      </c>
      <c r="F2097" s="704">
        <v>100</v>
      </c>
      <c r="H2097">
        <f t="shared" si="126"/>
        <v>5109</v>
      </c>
      <c r="I2097" t="str">
        <f t="shared" si="127"/>
        <v>Greater Adelaide</v>
      </c>
    </row>
    <row r="2098" spans="1:9" x14ac:dyDescent="0.2">
      <c r="A2098" s="704">
        <v>5110</v>
      </c>
      <c r="B2098" s="704">
        <v>5110</v>
      </c>
      <c r="C2098" s="704" t="s">
        <v>585</v>
      </c>
      <c r="D2098" s="704" t="s">
        <v>550</v>
      </c>
      <c r="E2098" s="704">
        <v>1</v>
      </c>
      <c r="F2098" s="704">
        <v>100</v>
      </c>
      <c r="H2098">
        <f t="shared" si="126"/>
        <v>5110</v>
      </c>
      <c r="I2098" t="str">
        <f t="shared" si="127"/>
        <v>Greater Adelaide</v>
      </c>
    </row>
    <row r="2099" spans="1:9" x14ac:dyDescent="0.2">
      <c r="A2099" s="704">
        <v>5111</v>
      </c>
      <c r="B2099" s="704">
        <v>5111</v>
      </c>
      <c r="C2099" s="704" t="s">
        <v>585</v>
      </c>
      <c r="D2099" s="704" t="s">
        <v>550</v>
      </c>
      <c r="E2099" s="704">
        <v>1</v>
      </c>
      <c r="F2099" s="704">
        <v>100</v>
      </c>
      <c r="H2099">
        <f t="shared" si="126"/>
        <v>5111</v>
      </c>
      <c r="I2099" t="str">
        <f t="shared" si="127"/>
        <v>Greater Adelaide</v>
      </c>
    </row>
    <row r="2100" spans="1:9" x14ac:dyDescent="0.2">
      <c r="A2100" s="704">
        <v>5112</v>
      </c>
      <c r="B2100" s="704">
        <v>5112</v>
      </c>
      <c r="C2100" s="704" t="s">
        <v>585</v>
      </c>
      <c r="D2100" s="704" t="s">
        <v>550</v>
      </c>
      <c r="E2100" s="704">
        <v>1</v>
      </c>
      <c r="F2100" s="704">
        <v>100</v>
      </c>
      <c r="H2100">
        <f t="shared" si="126"/>
        <v>5112</v>
      </c>
      <c r="I2100" t="str">
        <f t="shared" si="127"/>
        <v>Greater Adelaide</v>
      </c>
    </row>
    <row r="2101" spans="1:9" x14ac:dyDescent="0.2">
      <c r="A2101" s="704">
        <v>5113</v>
      </c>
      <c r="B2101" s="704">
        <v>5113</v>
      </c>
      <c r="C2101" s="704" t="s">
        <v>585</v>
      </c>
      <c r="D2101" s="704" t="s">
        <v>550</v>
      </c>
      <c r="E2101" s="704">
        <v>1</v>
      </c>
      <c r="F2101" s="704">
        <v>100</v>
      </c>
      <c r="H2101">
        <f t="shared" si="126"/>
        <v>5113</v>
      </c>
      <c r="I2101" t="str">
        <f t="shared" si="127"/>
        <v>Greater Adelaide</v>
      </c>
    </row>
    <row r="2102" spans="1:9" x14ac:dyDescent="0.2">
      <c r="A2102" s="704">
        <v>5114</v>
      </c>
      <c r="B2102" s="704">
        <v>5114</v>
      </c>
      <c r="C2102" s="704" t="s">
        <v>585</v>
      </c>
      <c r="D2102" s="704" t="s">
        <v>550</v>
      </c>
      <c r="E2102" s="704">
        <v>1</v>
      </c>
      <c r="F2102" s="704">
        <v>100</v>
      </c>
      <c r="H2102">
        <f t="shared" si="126"/>
        <v>5114</v>
      </c>
      <c r="I2102" t="str">
        <f t="shared" si="127"/>
        <v>Greater Adelaide</v>
      </c>
    </row>
    <row r="2103" spans="1:9" x14ac:dyDescent="0.2">
      <c r="A2103" s="704">
        <v>5115</v>
      </c>
      <c r="B2103" s="704">
        <v>5115</v>
      </c>
      <c r="C2103" s="704" t="s">
        <v>585</v>
      </c>
      <c r="D2103" s="704" t="s">
        <v>550</v>
      </c>
      <c r="E2103" s="704">
        <v>1</v>
      </c>
      <c r="F2103" s="704">
        <v>100</v>
      </c>
      <c r="H2103">
        <f t="shared" si="126"/>
        <v>5115</v>
      </c>
      <c r="I2103" t="str">
        <f t="shared" si="127"/>
        <v>Greater Adelaide</v>
      </c>
    </row>
    <row r="2104" spans="1:9" x14ac:dyDescent="0.2">
      <c r="A2104" s="704">
        <v>5116</v>
      </c>
      <c r="B2104" s="704">
        <v>5116</v>
      </c>
      <c r="C2104" s="704" t="s">
        <v>585</v>
      </c>
      <c r="D2104" s="704" t="s">
        <v>550</v>
      </c>
      <c r="E2104" s="704">
        <v>1</v>
      </c>
      <c r="F2104" s="704">
        <v>100</v>
      </c>
      <c r="H2104">
        <f t="shared" si="126"/>
        <v>5116</v>
      </c>
      <c r="I2104" t="str">
        <f t="shared" si="127"/>
        <v>Greater Adelaide</v>
      </c>
    </row>
    <row r="2105" spans="1:9" x14ac:dyDescent="0.2">
      <c r="A2105" s="704">
        <v>5117</v>
      </c>
      <c r="B2105" s="704">
        <v>5117</v>
      </c>
      <c r="C2105" s="704" t="s">
        <v>585</v>
      </c>
      <c r="D2105" s="704" t="s">
        <v>550</v>
      </c>
      <c r="E2105" s="704">
        <v>1</v>
      </c>
      <c r="F2105" s="704">
        <v>100</v>
      </c>
      <c r="H2105">
        <f t="shared" ref="H2105:H2168" si="128">A2105*1</f>
        <v>5117</v>
      </c>
      <c r="I2105" t="str">
        <f t="shared" ref="I2105:I2168" si="129">D2105</f>
        <v>Greater Adelaide</v>
      </c>
    </row>
    <row r="2106" spans="1:9" x14ac:dyDescent="0.2">
      <c r="A2106" s="704">
        <v>5118</v>
      </c>
      <c r="B2106" s="704">
        <v>5118</v>
      </c>
      <c r="C2106" s="704" t="s">
        <v>585</v>
      </c>
      <c r="D2106" s="704" t="s">
        <v>550</v>
      </c>
      <c r="E2106" s="704">
        <v>0.99945600000000001</v>
      </c>
      <c r="F2106" s="704">
        <v>99.945700000000002</v>
      </c>
      <c r="H2106">
        <f t="shared" si="128"/>
        <v>5118</v>
      </c>
      <c r="I2106" t="str">
        <f t="shared" si="129"/>
        <v>Greater Adelaide</v>
      </c>
    </row>
    <row r="2107" spans="1:9" x14ac:dyDescent="0.2">
      <c r="A2107" s="704">
        <v>5118</v>
      </c>
      <c r="B2107" s="704">
        <v>5118</v>
      </c>
      <c r="C2107" s="704" t="s">
        <v>572</v>
      </c>
      <c r="D2107" s="704" t="s">
        <v>523</v>
      </c>
      <c r="E2107" s="704">
        <v>5.4350000000000004E-4</v>
      </c>
      <c r="F2107" s="704">
        <v>5.4347800000000002E-2</v>
      </c>
      <c r="H2107">
        <f t="shared" si="128"/>
        <v>5118</v>
      </c>
      <c r="I2107" t="str">
        <f t="shared" si="129"/>
        <v>Rest of SA</v>
      </c>
    </row>
    <row r="2108" spans="1:9" x14ac:dyDescent="0.2">
      <c r="A2108" s="704">
        <v>5120</v>
      </c>
      <c r="B2108" s="704">
        <v>5120</v>
      </c>
      <c r="C2108" s="704" t="s">
        <v>585</v>
      </c>
      <c r="D2108" s="704" t="s">
        <v>550</v>
      </c>
      <c r="E2108" s="704">
        <v>1</v>
      </c>
      <c r="F2108" s="704">
        <v>100</v>
      </c>
      <c r="H2108">
        <f t="shared" si="128"/>
        <v>5120</v>
      </c>
      <c r="I2108" t="str">
        <f t="shared" si="129"/>
        <v>Greater Adelaide</v>
      </c>
    </row>
    <row r="2109" spans="1:9" x14ac:dyDescent="0.2">
      <c r="A2109" s="704">
        <v>5121</v>
      </c>
      <c r="B2109" s="704">
        <v>5121</v>
      </c>
      <c r="C2109" s="704" t="s">
        <v>585</v>
      </c>
      <c r="D2109" s="704" t="s">
        <v>550</v>
      </c>
      <c r="E2109" s="704">
        <v>1</v>
      </c>
      <c r="F2109" s="704">
        <v>100</v>
      </c>
      <c r="H2109">
        <f t="shared" si="128"/>
        <v>5121</v>
      </c>
      <c r="I2109" t="str">
        <f t="shared" si="129"/>
        <v>Greater Adelaide</v>
      </c>
    </row>
    <row r="2110" spans="1:9" x14ac:dyDescent="0.2">
      <c r="A2110" s="704">
        <v>5125</v>
      </c>
      <c r="B2110" s="704">
        <v>5125</v>
      </c>
      <c r="C2110" s="704" t="s">
        <v>585</v>
      </c>
      <c r="D2110" s="704" t="s">
        <v>550</v>
      </c>
      <c r="E2110" s="704">
        <v>1</v>
      </c>
      <c r="F2110" s="704">
        <v>100</v>
      </c>
      <c r="H2110">
        <f t="shared" si="128"/>
        <v>5125</v>
      </c>
      <c r="I2110" t="str">
        <f t="shared" si="129"/>
        <v>Greater Adelaide</v>
      </c>
    </row>
    <row r="2111" spans="1:9" x14ac:dyDescent="0.2">
      <c r="A2111" s="704">
        <v>5126</v>
      </c>
      <c r="B2111" s="704">
        <v>5126</v>
      </c>
      <c r="C2111" s="704" t="s">
        <v>585</v>
      </c>
      <c r="D2111" s="704" t="s">
        <v>550</v>
      </c>
      <c r="E2111" s="704">
        <v>1</v>
      </c>
      <c r="F2111" s="704">
        <v>100</v>
      </c>
      <c r="H2111">
        <f t="shared" si="128"/>
        <v>5126</v>
      </c>
      <c r="I2111" t="str">
        <f t="shared" si="129"/>
        <v>Greater Adelaide</v>
      </c>
    </row>
    <row r="2112" spans="1:9" x14ac:dyDescent="0.2">
      <c r="A2112" s="704">
        <v>5127</v>
      </c>
      <c r="B2112" s="704">
        <v>5127</v>
      </c>
      <c r="C2112" s="704" t="s">
        <v>585</v>
      </c>
      <c r="D2112" s="704" t="s">
        <v>550</v>
      </c>
      <c r="E2112" s="704">
        <v>1</v>
      </c>
      <c r="F2112" s="704">
        <v>100</v>
      </c>
      <c r="H2112">
        <f t="shared" si="128"/>
        <v>5127</v>
      </c>
      <c r="I2112" t="str">
        <f t="shared" si="129"/>
        <v>Greater Adelaide</v>
      </c>
    </row>
    <row r="2113" spans="1:9" x14ac:dyDescent="0.2">
      <c r="A2113" s="704">
        <v>5131</v>
      </c>
      <c r="B2113" s="704">
        <v>5131</v>
      </c>
      <c r="C2113" s="704" t="s">
        <v>585</v>
      </c>
      <c r="D2113" s="704" t="s">
        <v>550</v>
      </c>
      <c r="E2113" s="704">
        <v>1</v>
      </c>
      <c r="F2113" s="704">
        <v>100</v>
      </c>
      <c r="H2113">
        <f t="shared" si="128"/>
        <v>5131</v>
      </c>
      <c r="I2113" t="str">
        <f t="shared" si="129"/>
        <v>Greater Adelaide</v>
      </c>
    </row>
    <row r="2114" spans="1:9" x14ac:dyDescent="0.2">
      <c r="A2114" s="704">
        <v>5132</v>
      </c>
      <c r="B2114" s="704">
        <v>5132</v>
      </c>
      <c r="C2114" s="704" t="s">
        <v>585</v>
      </c>
      <c r="D2114" s="704" t="s">
        <v>550</v>
      </c>
      <c r="E2114" s="704">
        <v>1</v>
      </c>
      <c r="F2114" s="704">
        <v>100</v>
      </c>
      <c r="H2114">
        <f t="shared" si="128"/>
        <v>5132</v>
      </c>
      <c r="I2114" t="str">
        <f t="shared" si="129"/>
        <v>Greater Adelaide</v>
      </c>
    </row>
    <row r="2115" spans="1:9" x14ac:dyDescent="0.2">
      <c r="A2115" s="704">
        <v>5133</v>
      </c>
      <c r="B2115" s="704">
        <v>5133</v>
      </c>
      <c r="C2115" s="704" t="s">
        <v>585</v>
      </c>
      <c r="D2115" s="704" t="s">
        <v>550</v>
      </c>
      <c r="E2115" s="704">
        <v>1</v>
      </c>
      <c r="F2115" s="704">
        <v>100</v>
      </c>
      <c r="H2115">
        <f t="shared" si="128"/>
        <v>5133</v>
      </c>
      <c r="I2115" t="str">
        <f t="shared" si="129"/>
        <v>Greater Adelaide</v>
      </c>
    </row>
    <row r="2116" spans="1:9" x14ac:dyDescent="0.2">
      <c r="A2116" s="704">
        <v>5134</v>
      </c>
      <c r="B2116" s="704">
        <v>5134</v>
      </c>
      <c r="C2116" s="704" t="s">
        <v>585</v>
      </c>
      <c r="D2116" s="704" t="s">
        <v>550</v>
      </c>
      <c r="E2116" s="704">
        <v>1</v>
      </c>
      <c r="F2116" s="704">
        <v>100</v>
      </c>
      <c r="H2116">
        <f t="shared" si="128"/>
        <v>5134</v>
      </c>
      <c r="I2116" t="str">
        <f t="shared" si="129"/>
        <v>Greater Adelaide</v>
      </c>
    </row>
    <row r="2117" spans="1:9" x14ac:dyDescent="0.2">
      <c r="A2117" s="704">
        <v>5136</v>
      </c>
      <c r="B2117" s="704">
        <v>5136</v>
      </c>
      <c r="C2117" s="704" t="s">
        <v>585</v>
      </c>
      <c r="D2117" s="704" t="s">
        <v>550</v>
      </c>
      <c r="E2117" s="704">
        <v>1</v>
      </c>
      <c r="F2117" s="704">
        <v>100</v>
      </c>
      <c r="H2117">
        <f t="shared" si="128"/>
        <v>5136</v>
      </c>
      <c r="I2117" t="str">
        <f t="shared" si="129"/>
        <v>Greater Adelaide</v>
      </c>
    </row>
    <row r="2118" spans="1:9" x14ac:dyDescent="0.2">
      <c r="A2118" s="704">
        <v>5137</v>
      </c>
      <c r="B2118" s="704">
        <v>5137</v>
      </c>
      <c r="C2118" s="704" t="s">
        <v>585</v>
      </c>
      <c r="D2118" s="704" t="s">
        <v>550</v>
      </c>
      <c r="E2118" s="704">
        <v>1</v>
      </c>
      <c r="F2118" s="704">
        <v>100</v>
      </c>
      <c r="H2118">
        <f t="shared" si="128"/>
        <v>5137</v>
      </c>
      <c r="I2118" t="str">
        <f t="shared" si="129"/>
        <v>Greater Adelaide</v>
      </c>
    </row>
    <row r="2119" spans="1:9" x14ac:dyDescent="0.2">
      <c r="A2119" s="704">
        <v>5138</v>
      </c>
      <c r="B2119" s="704">
        <v>5138</v>
      </c>
      <c r="C2119" s="704" t="s">
        <v>585</v>
      </c>
      <c r="D2119" s="704" t="s">
        <v>550</v>
      </c>
      <c r="E2119" s="704">
        <v>1</v>
      </c>
      <c r="F2119" s="704">
        <v>100</v>
      </c>
      <c r="H2119">
        <f t="shared" si="128"/>
        <v>5138</v>
      </c>
      <c r="I2119" t="str">
        <f t="shared" si="129"/>
        <v>Greater Adelaide</v>
      </c>
    </row>
    <row r="2120" spans="1:9" x14ac:dyDescent="0.2">
      <c r="A2120" s="704">
        <v>5139</v>
      </c>
      <c r="B2120" s="704">
        <v>5139</v>
      </c>
      <c r="C2120" s="704" t="s">
        <v>585</v>
      </c>
      <c r="D2120" s="704" t="s">
        <v>550</v>
      </c>
      <c r="E2120" s="704">
        <v>1</v>
      </c>
      <c r="F2120" s="704">
        <v>100</v>
      </c>
      <c r="H2120">
        <f t="shared" si="128"/>
        <v>5139</v>
      </c>
      <c r="I2120" t="str">
        <f t="shared" si="129"/>
        <v>Greater Adelaide</v>
      </c>
    </row>
    <row r="2121" spans="1:9" x14ac:dyDescent="0.2">
      <c r="A2121" s="704">
        <v>5140</v>
      </c>
      <c r="B2121" s="704">
        <v>5140</v>
      </c>
      <c r="C2121" s="704" t="s">
        <v>585</v>
      </c>
      <c r="D2121" s="704" t="s">
        <v>550</v>
      </c>
      <c r="E2121" s="704">
        <v>1</v>
      </c>
      <c r="F2121" s="704">
        <v>100</v>
      </c>
      <c r="H2121">
        <f t="shared" si="128"/>
        <v>5140</v>
      </c>
      <c r="I2121" t="str">
        <f t="shared" si="129"/>
        <v>Greater Adelaide</v>
      </c>
    </row>
    <row r="2122" spans="1:9" x14ac:dyDescent="0.2">
      <c r="A2122" s="704">
        <v>5141</v>
      </c>
      <c r="B2122" s="704">
        <v>5141</v>
      </c>
      <c r="C2122" s="704" t="s">
        <v>585</v>
      </c>
      <c r="D2122" s="704" t="s">
        <v>550</v>
      </c>
      <c r="E2122" s="704">
        <v>1</v>
      </c>
      <c r="F2122" s="704">
        <v>100</v>
      </c>
      <c r="H2122">
        <f t="shared" si="128"/>
        <v>5141</v>
      </c>
      <c r="I2122" t="str">
        <f t="shared" si="129"/>
        <v>Greater Adelaide</v>
      </c>
    </row>
    <row r="2123" spans="1:9" x14ac:dyDescent="0.2">
      <c r="A2123" s="704">
        <v>5142</v>
      </c>
      <c r="B2123" s="704">
        <v>5142</v>
      </c>
      <c r="C2123" s="704" t="s">
        <v>585</v>
      </c>
      <c r="D2123" s="704" t="s">
        <v>550</v>
      </c>
      <c r="E2123" s="704">
        <v>1</v>
      </c>
      <c r="F2123" s="704">
        <v>100</v>
      </c>
      <c r="H2123">
        <f t="shared" si="128"/>
        <v>5142</v>
      </c>
      <c r="I2123" t="str">
        <f t="shared" si="129"/>
        <v>Greater Adelaide</v>
      </c>
    </row>
    <row r="2124" spans="1:9" x14ac:dyDescent="0.2">
      <c r="A2124" s="704">
        <v>5144</v>
      </c>
      <c r="B2124" s="704">
        <v>5144</v>
      </c>
      <c r="C2124" s="704" t="s">
        <v>585</v>
      </c>
      <c r="D2124" s="704" t="s">
        <v>550</v>
      </c>
      <c r="E2124" s="704">
        <v>1</v>
      </c>
      <c r="F2124" s="704">
        <v>100</v>
      </c>
      <c r="H2124">
        <f t="shared" si="128"/>
        <v>5144</v>
      </c>
      <c r="I2124" t="str">
        <f t="shared" si="129"/>
        <v>Greater Adelaide</v>
      </c>
    </row>
    <row r="2125" spans="1:9" x14ac:dyDescent="0.2">
      <c r="A2125" s="704">
        <v>5150</v>
      </c>
      <c r="B2125" s="704">
        <v>5150</v>
      </c>
      <c r="C2125" s="704" t="s">
        <v>585</v>
      </c>
      <c r="D2125" s="704" t="s">
        <v>550</v>
      </c>
      <c r="E2125" s="704">
        <v>1</v>
      </c>
      <c r="F2125" s="704">
        <v>100</v>
      </c>
      <c r="H2125">
        <f t="shared" si="128"/>
        <v>5150</v>
      </c>
      <c r="I2125" t="str">
        <f t="shared" si="129"/>
        <v>Greater Adelaide</v>
      </c>
    </row>
    <row r="2126" spans="1:9" x14ac:dyDescent="0.2">
      <c r="A2126" s="704">
        <v>5151</v>
      </c>
      <c r="B2126" s="704">
        <v>5151</v>
      </c>
      <c r="C2126" s="704" t="s">
        <v>585</v>
      </c>
      <c r="D2126" s="704" t="s">
        <v>550</v>
      </c>
      <c r="E2126" s="704">
        <v>1</v>
      </c>
      <c r="F2126" s="704">
        <v>100</v>
      </c>
      <c r="H2126">
        <f t="shared" si="128"/>
        <v>5151</v>
      </c>
      <c r="I2126" t="str">
        <f t="shared" si="129"/>
        <v>Greater Adelaide</v>
      </c>
    </row>
    <row r="2127" spans="1:9" x14ac:dyDescent="0.2">
      <c r="A2127" s="704">
        <v>5152</v>
      </c>
      <c r="B2127" s="704">
        <v>5152</v>
      </c>
      <c r="C2127" s="704" t="s">
        <v>585</v>
      </c>
      <c r="D2127" s="704" t="s">
        <v>550</v>
      </c>
      <c r="E2127" s="704">
        <v>1</v>
      </c>
      <c r="F2127" s="704">
        <v>100</v>
      </c>
      <c r="H2127">
        <f t="shared" si="128"/>
        <v>5152</v>
      </c>
      <c r="I2127" t="str">
        <f t="shared" si="129"/>
        <v>Greater Adelaide</v>
      </c>
    </row>
    <row r="2128" spans="1:9" x14ac:dyDescent="0.2">
      <c r="A2128" s="704">
        <v>5153</v>
      </c>
      <c r="B2128" s="704">
        <v>5153</v>
      </c>
      <c r="C2128" s="704" t="s">
        <v>585</v>
      </c>
      <c r="D2128" s="704" t="s">
        <v>550</v>
      </c>
      <c r="E2128" s="704">
        <v>0.99634699999999998</v>
      </c>
      <c r="F2128" s="704">
        <v>99.634699999999995</v>
      </c>
      <c r="H2128">
        <f t="shared" si="128"/>
        <v>5153</v>
      </c>
      <c r="I2128" t="str">
        <f t="shared" si="129"/>
        <v>Greater Adelaide</v>
      </c>
    </row>
    <row r="2129" spans="1:9" x14ac:dyDescent="0.2">
      <c r="A2129" s="704">
        <v>5153</v>
      </c>
      <c r="B2129" s="704">
        <v>5153</v>
      </c>
      <c r="C2129" s="704" t="s">
        <v>572</v>
      </c>
      <c r="D2129" s="704" t="s">
        <v>523</v>
      </c>
      <c r="E2129" s="704">
        <v>3.6533E-3</v>
      </c>
      <c r="F2129" s="704">
        <v>0.36532900000000001</v>
      </c>
      <c r="H2129">
        <f t="shared" si="128"/>
        <v>5153</v>
      </c>
      <c r="I2129" t="str">
        <f t="shared" si="129"/>
        <v>Rest of SA</v>
      </c>
    </row>
    <row r="2130" spans="1:9" x14ac:dyDescent="0.2">
      <c r="A2130" s="704">
        <v>5154</v>
      </c>
      <c r="B2130" s="704">
        <v>5154</v>
      </c>
      <c r="C2130" s="704" t="s">
        <v>585</v>
      </c>
      <c r="D2130" s="704" t="s">
        <v>550</v>
      </c>
      <c r="E2130" s="704">
        <v>1</v>
      </c>
      <c r="F2130" s="704">
        <v>100</v>
      </c>
      <c r="H2130">
        <f t="shared" si="128"/>
        <v>5154</v>
      </c>
      <c r="I2130" t="str">
        <f t="shared" si="129"/>
        <v>Greater Adelaide</v>
      </c>
    </row>
    <row r="2131" spans="1:9" x14ac:dyDescent="0.2">
      <c r="A2131" s="704">
        <v>5155</v>
      </c>
      <c r="B2131" s="704">
        <v>5155</v>
      </c>
      <c r="C2131" s="704" t="s">
        <v>585</v>
      </c>
      <c r="D2131" s="704" t="s">
        <v>550</v>
      </c>
      <c r="E2131" s="704">
        <v>1</v>
      </c>
      <c r="F2131" s="704">
        <v>100</v>
      </c>
      <c r="H2131">
        <f t="shared" si="128"/>
        <v>5155</v>
      </c>
      <c r="I2131" t="str">
        <f t="shared" si="129"/>
        <v>Greater Adelaide</v>
      </c>
    </row>
    <row r="2132" spans="1:9" x14ac:dyDescent="0.2">
      <c r="A2132" s="704">
        <v>5156</v>
      </c>
      <c r="B2132" s="704">
        <v>5156</v>
      </c>
      <c r="C2132" s="704" t="s">
        <v>585</v>
      </c>
      <c r="D2132" s="704" t="s">
        <v>550</v>
      </c>
      <c r="E2132" s="704">
        <v>1</v>
      </c>
      <c r="F2132" s="704">
        <v>100</v>
      </c>
      <c r="H2132">
        <f t="shared" si="128"/>
        <v>5156</v>
      </c>
      <c r="I2132" t="str">
        <f t="shared" si="129"/>
        <v>Greater Adelaide</v>
      </c>
    </row>
    <row r="2133" spans="1:9" x14ac:dyDescent="0.2">
      <c r="A2133" s="704">
        <v>5157</v>
      </c>
      <c r="B2133" s="704">
        <v>5157</v>
      </c>
      <c r="C2133" s="704" t="s">
        <v>585</v>
      </c>
      <c r="D2133" s="704" t="s">
        <v>550</v>
      </c>
      <c r="E2133" s="704">
        <v>0.88684600000000002</v>
      </c>
      <c r="F2133" s="704">
        <v>88.684600000000003</v>
      </c>
      <c r="H2133">
        <f t="shared" si="128"/>
        <v>5157</v>
      </c>
      <c r="I2133" t="str">
        <f t="shared" si="129"/>
        <v>Greater Adelaide</v>
      </c>
    </row>
    <row r="2134" spans="1:9" x14ac:dyDescent="0.2">
      <c r="A2134" s="704">
        <v>5157</v>
      </c>
      <c r="B2134" s="704">
        <v>5157</v>
      </c>
      <c r="C2134" s="704" t="s">
        <v>572</v>
      </c>
      <c r="D2134" s="704" t="s">
        <v>523</v>
      </c>
      <c r="E2134" s="704">
        <v>0.113154</v>
      </c>
      <c r="F2134" s="704">
        <v>11.3154</v>
      </c>
      <c r="H2134">
        <f t="shared" si="128"/>
        <v>5157</v>
      </c>
      <c r="I2134" t="str">
        <f t="shared" si="129"/>
        <v>Rest of SA</v>
      </c>
    </row>
    <row r="2135" spans="1:9" x14ac:dyDescent="0.2">
      <c r="A2135" s="704">
        <v>5158</v>
      </c>
      <c r="B2135" s="704">
        <v>5158</v>
      </c>
      <c r="C2135" s="704" t="s">
        <v>585</v>
      </c>
      <c r="D2135" s="704" t="s">
        <v>550</v>
      </c>
      <c r="E2135" s="704">
        <v>0.99997599999999998</v>
      </c>
      <c r="F2135" s="704">
        <v>99.997600000000006</v>
      </c>
      <c r="H2135">
        <f t="shared" si="128"/>
        <v>5158</v>
      </c>
      <c r="I2135" t="str">
        <f t="shared" si="129"/>
        <v>Greater Adelaide</v>
      </c>
    </row>
    <row r="2136" spans="1:9" x14ac:dyDescent="0.2">
      <c r="A2136" s="704">
        <v>5159</v>
      </c>
      <c r="B2136" s="704">
        <v>5159</v>
      </c>
      <c r="C2136" s="704" t="s">
        <v>585</v>
      </c>
      <c r="D2136" s="704" t="s">
        <v>550</v>
      </c>
      <c r="E2136" s="704">
        <v>1</v>
      </c>
      <c r="F2136" s="704">
        <v>100</v>
      </c>
      <c r="H2136">
        <f t="shared" si="128"/>
        <v>5159</v>
      </c>
      <c r="I2136" t="str">
        <f t="shared" si="129"/>
        <v>Greater Adelaide</v>
      </c>
    </row>
    <row r="2137" spans="1:9" x14ac:dyDescent="0.2">
      <c r="A2137" s="704">
        <v>5160</v>
      </c>
      <c r="B2137" s="704">
        <v>5160</v>
      </c>
      <c r="C2137" s="704" t="s">
        <v>585</v>
      </c>
      <c r="D2137" s="704" t="s">
        <v>550</v>
      </c>
      <c r="E2137" s="704">
        <v>1</v>
      </c>
      <c r="F2137" s="704">
        <v>100</v>
      </c>
      <c r="H2137">
        <f t="shared" si="128"/>
        <v>5160</v>
      </c>
      <c r="I2137" t="str">
        <f t="shared" si="129"/>
        <v>Greater Adelaide</v>
      </c>
    </row>
    <row r="2138" spans="1:9" x14ac:dyDescent="0.2">
      <c r="A2138" s="704">
        <v>5161</v>
      </c>
      <c r="B2138" s="704">
        <v>5161</v>
      </c>
      <c r="C2138" s="704" t="s">
        <v>585</v>
      </c>
      <c r="D2138" s="704" t="s">
        <v>550</v>
      </c>
      <c r="E2138" s="704">
        <v>1</v>
      </c>
      <c r="F2138" s="704">
        <v>100</v>
      </c>
      <c r="H2138">
        <f t="shared" si="128"/>
        <v>5161</v>
      </c>
      <c r="I2138" t="str">
        <f t="shared" si="129"/>
        <v>Greater Adelaide</v>
      </c>
    </row>
    <row r="2139" spans="1:9" x14ac:dyDescent="0.2">
      <c r="A2139" s="704">
        <v>5162</v>
      </c>
      <c r="B2139" s="704">
        <v>5162</v>
      </c>
      <c r="C2139" s="704" t="s">
        <v>585</v>
      </c>
      <c r="D2139" s="704" t="s">
        <v>550</v>
      </c>
      <c r="E2139" s="704">
        <v>1</v>
      </c>
      <c r="F2139" s="704">
        <v>100</v>
      </c>
      <c r="H2139">
        <f t="shared" si="128"/>
        <v>5162</v>
      </c>
      <c r="I2139" t="str">
        <f t="shared" si="129"/>
        <v>Greater Adelaide</v>
      </c>
    </row>
    <row r="2140" spans="1:9" x14ac:dyDescent="0.2">
      <c r="A2140" s="704">
        <v>5163</v>
      </c>
      <c r="B2140" s="704">
        <v>5163</v>
      </c>
      <c r="C2140" s="704" t="s">
        <v>585</v>
      </c>
      <c r="D2140" s="704" t="s">
        <v>550</v>
      </c>
      <c r="E2140" s="704">
        <v>1</v>
      </c>
      <c r="F2140" s="704">
        <v>100</v>
      </c>
      <c r="H2140">
        <f t="shared" si="128"/>
        <v>5163</v>
      </c>
      <c r="I2140" t="str">
        <f t="shared" si="129"/>
        <v>Greater Adelaide</v>
      </c>
    </row>
    <row r="2141" spans="1:9" x14ac:dyDescent="0.2">
      <c r="A2141" s="704">
        <v>5164</v>
      </c>
      <c r="B2141" s="704">
        <v>5164</v>
      </c>
      <c r="C2141" s="704" t="s">
        <v>585</v>
      </c>
      <c r="D2141" s="704" t="s">
        <v>550</v>
      </c>
      <c r="E2141" s="704">
        <v>1</v>
      </c>
      <c r="F2141" s="704">
        <v>100</v>
      </c>
      <c r="H2141">
        <f t="shared" si="128"/>
        <v>5164</v>
      </c>
      <c r="I2141" t="str">
        <f t="shared" si="129"/>
        <v>Greater Adelaide</v>
      </c>
    </row>
    <row r="2142" spans="1:9" x14ac:dyDescent="0.2">
      <c r="A2142" s="704">
        <v>5165</v>
      </c>
      <c r="B2142" s="704">
        <v>5165</v>
      </c>
      <c r="C2142" s="704" t="s">
        <v>585</v>
      </c>
      <c r="D2142" s="704" t="s">
        <v>550</v>
      </c>
      <c r="E2142" s="704">
        <v>1</v>
      </c>
      <c r="F2142" s="704">
        <v>100</v>
      </c>
      <c r="H2142">
        <f t="shared" si="128"/>
        <v>5165</v>
      </c>
      <c r="I2142" t="str">
        <f t="shared" si="129"/>
        <v>Greater Adelaide</v>
      </c>
    </row>
    <row r="2143" spans="1:9" x14ac:dyDescent="0.2">
      <c r="A2143" s="704">
        <v>5166</v>
      </c>
      <c r="B2143" s="704">
        <v>5166</v>
      </c>
      <c r="C2143" s="704" t="s">
        <v>585</v>
      </c>
      <c r="D2143" s="704" t="s">
        <v>550</v>
      </c>
      <c r="E2143" s="704">
        <v>1</v>
      </c>
      <c r="F2143" s="704">
        <v>100</v>
      </c>
      <c r="H2143">
        <f t="shared" si="128"/>
        <v>5166</v>
      </c>
      <c r="I2143" t="str">
        <f t="shared" si="129"/>
        <v>Greater Adelaide</v>
      </c>
    </row>
    <row r="2144" spans="1:9" x14ac:dyDescent="0.2">
      <c r="A2144" s="704">
        <v>5167</v>
      </c>
      <c r="B2144" s="704">
        <v>5167</v>
      </c>
      <c r="C2144" s="704" t="s">
        <v>585</v>
      </c>
      <c r="D2144" s="704" t="s">
        <v>550</v>
      </c>
      <c r="E2144" s="704">
        <v>1</v>
      </c>
      <c r="F2144" s="704">
        <v>100</v>
      </c>
      <c r="H2144">
        <f t="shared" si="128"/>
        <v>5167</v>
      </c>
      <c r="I2144" t="str">
        <f t="shared" si="129"/>
        <v>Greater Adelaide</v>
      </c>
    </row>
    <row r="2145" spans="1:9" x14ac:dyDescent="0.2">
      <c r="A2145" s="704">
        <v>5168</v>
      </c>
      <c r="B2145" s="704">
        <v>5168</v>
      </c>
      <c r="C2145" s="704" t="s">
        <v>585</v>
      </c>
      <c r="D2145" s="704" t="s">
        <v>550</v>
      </c>
      <c r="E2145" s="704">
        <v>1</v>
      </c>
      <c r="F2145" s="704">
        <v>100</v>
      </c>
      <c r="H2145">
        <f t="shared" si="128"/>
        <v>5168</v>
      </c>
      <c r="I2145" t="str">
        <f t="shared" si="129"/>
        <v>Greater Adelaide</v>
      </c>
    </row>
    <row r="2146" spans="1:9" x14ac:dyDescent="0.2">
      <c r="A2146" s="704">
        <v>5169</v>
      </c>
      <c r="B2146" s="704">
        <v>5169</v>
      </c>
      <c r="C2146" s="704" t="s">
        <v>585</v>
      </c>
      <c r="D2146" s="704" t="s">
        <v>550</v>
      </c>
      <c r="E2146" s="704">
        <v>1</v>
      </c>
      <c r="F2146" s="704">
        <v>100</v>
      </c>
      <c r="H2146">
        <f t="shared" si="128"/>
        <v>5169</v>
      </c>
      <c r="I2146" t="str">
        <f t="shared" si="129"/>
        <v>Greater Adelaide</v>
      </c>
    </row>
    <row r="2147" spans="1:9" x14ac:dyDescent="0.2">
      <c r="A2147" s="704">
        <v>5170</v>
      </c>
      <c r="B2147" s="704">
        <v>5170</v>
      </c>
      <c r="C2147" s="704" t="s">
        <v>585</v>
      </c>
      <c r="D2147" s="704" t="s">
        <v>550</v>
      </c>
      <c r="E2147" s="704">
        <v>1</v>
      </c>
      <c r="F2147" s="704">
        <v>100</v>
      </c>
      <c r="H2147">
        <f t="shared" si="128"/>
        <v>5170</v>
      </c>
      <c r="I2147" t="str">
        <f t="shared" si="129"/>
        <v>Greater Adelaide</v>
      </c>
    </row>
    <row r="2148" spans="1:9" x14ac:dyDescent="0.2">
      <c r="A2148" s="704">
        <v>5171</v>
      </c>
      <c r="B2148" s="704">
        <v>5171</v>
      </c>
      <c r="C2148" s="704" t="s">
        <v>585</v>
      </c>
      <c r="D2148" s="704" t="s">
        <v>550</v>
      </c>
      <c r="E2148" s="704">
        <v>1</v>
      </c>
      <c r="F2148" s="704">
        <v>100</v>
      </c>
      <c r="H2148">
        <f t="shared" si="128"/>
        <v>5171</v>
      </c>
      <c r="I2148" t="str">
        <f t="shared" si="129"/>
        <v>Greater Adelaide</v>
      </c>
    </row>
    <row r="2149" spans="1:9" x14ac:dyDescent="0.2">
      <c r="A2149" s="704">
        <v>5172</v>
      </c>
      <c r="B2149" s="704">
        <v>5172</v>
      </c>
      <c r="C2149" s="704" t="s">
        <v>585</v>
      </c>
      <c r="D2149" s="704" t="s">
        <v>550</v>
      </c>
      <c r="E2149" s="704">
        <v>0.79468499999999997</v>
      </c>
      <c r="F2149" s="704">
        <v>79.468500000000006</v>
      </c>
      <c r="H2149">
        <f t="shared" si="128"/>
        <v>5172</v>
      </c>
      <c r="I2149" t="str">
        <f t="shared" si="129"/>
        <v>Greater Adelaide</v>
      </c>
    </row>
    <row r="2150" spans="1:9" x14ac:dyDescent="0.2">
      <c r="A2150" s="704">
        <v>5172</v>
      </c>
      <c r="B2150" s="704">
        <v>5172</v>
      </c>
      <c r="C2150" s="704" t="s">
        <v>572</v>
      </c>
      <c r="D2150" s="704" t="s">
        <v>523</v>
      </c>
      <c r="E2150" s="704">
        <v>0.205315</v>
      </c>
      <c r="F2150" s="704">
        <v>20.531500000000001</v>
      </c>
      <c r="H2150">
        <f t="shared" si="128"/>
        <v>5172</v>
      </c>
      <c r="I2150" t="str">
        <f t="shared" si="129"/>
        <v>Rest of SA</v>
      </c>
    </row>
    <row r="2151" spans="1:9" x14ac:dyDescent="0.2">
      <c r="A2151" s="704">
        <v>5173</v>
      </c>
      <c r="B2151" s="704">
        <v>5173</v>
      </c>
      <c r="C2151" s="704" t="s">
        <v>585</v>
      </c>
      <c r="D2151" s="704" t="s">
        <v>550</v>
      </c>
      <c r="E2151" s="704">
        <v>1</v>
      </c>
      <c r="F2151" s="704">
        <v>100</v>
      </c>
      <c r="H2151">
        <f t="shared" si="128"/>
        <v>5173</v>
      </c>
      <c r="I2151" t="str">
        <f t="shared" si="129"/>
        <v>Greater Adelaide</v>
      </c>
    </row>
    <row r="2152" spans="1:9" x14ac:dyDescent="0.2">
      <c r="A2152" s="704">
        <v>5174</v>
      </c>
      <c r="B2152" s="704">
        <v>5174</v>
      </c>
      <c r="C2152" s="704" t="s">
        <v>585</v>
      </c>
      <c r="D2152" s="704" t="s">
        <v>550</v>
      </c>
      <c r="E2152" s="704">
        <v>0.99507500000000004</v>
      </c>
      <c r="F2152" s="704">
        <v>99.507499999999993</v>
      </c>
      <c r="H2152">
        <f t="shared" si="128"/>
        <v>5174</v>
      </c>
      <c r="I2152" t="str">
        <f t="shared" si="129"/>
        <v>Greater Adelaide</v>
      </c>
    </row>
    <row r="2153" spans="1:9" x14ac:dyDescent="0.2">
      <c r="A2153" s="704">
        <v>5174</v>
      </c>
      <c r="B2153" s="704">
        <v>5174</v>
      </c>
      <c r="C2153" s="704" t="s">
        <v>572</v>
      </c>
      <c r="D2153" s="704" t="s">
        <v>523</v>
      </c>
      <c r="E2153" s="704">
        <v>4.9249000000000003E-3</v>
      </c>
      <c r="F2153" s="704">
        <v>0.49249100000000001</v>
      </c>
      <c r="H2153">
        <f t="shared" si="128"/>
        <v>5174</v>
      </c>
      <c r="I2153" t="str">
        <f t="shared" si="129"/>
        <v>Rest of SA</v>
      </c>
    </row>
    <row r="2154" spans="1:9" x14ac:dyDescent="0.2">
      <c r="A2154" s="704">
        <v>5201</v>
      </c>
      <c r="B2154" s="704">
        <v>5201</v>
      </c>
      <c r="C2154" s="704" t="s">
        <v>585</v>
      </c>
      <c r="D2154" s="704" t="s">
        <v>550</v>
      </c>
      <c r="E2154" s="704">
        <v>0.874255</v>
      </c>
      <c r="F2154" s="704">
        <v>87.4255</v>
      </c>
      <c r="H2154">
        <f t="shared" si="128"/>
        <v>5201</v>
      </c>
      <c r="I2154" t="str">
        <f t="shared" si="129"/>
        <v>Greater Adelaide</v>
      </c>
    </row>
    <row r="2155" spans="1:9" x14ac:dyDescent="0.2">
      <c r="A2155" s="704">
        <v>5201</v>
      </c>
      <c r="B2155" s="704">
        <v>5201</v>
      </c>
      <c r="C2155" s="704" t="s">
        <v>572</v>
      </c>
      <c r="D2155" s="704" t="s">
        <v>523</v>
      </c>
      <c r="E2155" s="704">
        <v>0.125745</v>
      </c>
      <c r="F2155" s="704">
        <v>12.5745</v>
      </c>
      <c r="H2155">
        <f t="shared" si="128"/>
        <v>5201</v>
      </c>
      <c r="I2155" t="str">
        <f t="shared" si="129"/>
        <v>Rest of SA</v>
      </c>
    </row>
    <row r="2156" spans="1:9" x14ac:dyDescent="0.2">
      <c r="A2156" s="704">
        <v>5202</v>
      </c>
      <c r="B2156" s="704">
        <v>5202</v>
      </c>
      <c r="C2156" s="704" t="s">
        <v>572</v>
      </c>
      <c r="D2156" s="704" t="s">
        <v>523</v>
      </c>
      <c r="E2156" s="704">
        <v>0.99941400000000002</v>
      </c>
      <c r="F2156" s="704">
        <v>99.941400000000002</v>
      </c>
      <c r="H2156">
        <f t="shared" si="128"/>
        <v>5202</v>
      </c>
      <c r="I2156" t="str">
        <f t="shared" si="129"/>
        <v>Rest of SA</v>
      </c>
    </row>
    <row r="2157" spans="1:9" x14ac:dyDescent="0.2">
      <c r="A2157" s="704">
        <v>5203</v>
      </c>
      <c r="B2157" s="704">
        <v>5203</v>
      </c>
      <c r="C2157" s="704" t="s">
        <v>572</v>
      </c>
      <c r="D2157" s="704" t="s">
        <v>523</v>
      </c>
      <c r="E2157" s="704">
        <v>1</v>
      </c>
      <c r="F2157" s="704">
        <v>100</v>
      </c>
      <c r="H2157">
        <f t="shared" si="128"/>
        <v>5203</v>
      </c>
      <c r="I2157" t="str">
        <f t="shared" si="129"/>
        <v>Rest of SA</v>
      </c>
    </row>
    <row r="2158" spans="1:9" x14ac:dyDescent="0.2">
      <c r="A2158" s="704">
        <v>5204</v>
      </c>
      <c r="B2158" s="704">
        <v>5204</v>
      </c>
      <c r="C2158" s="704" t="s">
        <v>572</v>
      </c>
      <c r="D2158" s="704" t="s">
        <v>523</v>
      </c>
      <c r="E2158" s="704">
        <v>0.99919599999999997</v>
      </c>
      <c r="F2158" s="704">
        <v>99.919600000000003</v>
      </c>
      <c r="H2158">
        <f t="shared" si="128"/>
        <v>5204</v>
      </c>
      <c r="I2158" t="str">
        <f t="shared" si="129"/>
        <v>Rest of SA</v>
      </c>
    </row>
    <row r="2159" spans="1:9" x14ac:dyDescent="0.2">
      <c r="A2159" s="704">
        <v>5210</v>
      </c>
      <c r="B2159" s="704">
        <v>5210</v>
      </c>
      <c r="C2159" s="704" t="s">
        <v>572</v>
      </c>
      <c r="D2159" s="704" t="s">
        <v>523</v>
      </c>
      <c r="E2159" s="704">
        <v>1</v>
      </c>
      <c r="F2159" s="704">
        <v>100</v>
      </c>
      <c r="H2159">
        <f t="shared" si="128"/>
        <v>5210</v>
      </c>
      <c r="I2159" t="str">
        <f t="shared" si="129"/>
        <v>Rest of SA</v>
      </c>
    </row>
    <row r="2160" spans="1:9" x14ac:dyDescent="0.2">
      <c r="A2160" s="704">
        <v>5211</v>
      </c>
      <c r="B2160" s="704">
        <v>5211</v>
      </c>
      <c r="C2160" s="704" t="s">
        <v>572</v>
      </c>
      <c r="D2160" s="704" t="s">
        <v>523</v>
      </c>
      <c r="E2160" s="704">
        <v>0.999919</v>
      </c>
      <c r="F2160" s="704">
        <v>99.991900000000001</v>
      </c>
      <c r="H2160">
        <f t="shared" si="128"/>
        <v>5211</v>
      </c>
      <c r="I2160" t="str">
        <f t="shared" si="129"/>
        <v>Rest of SA</v>
      </c>
    </row>
    <row r="2161" spans="1:9" x14ac:dyDescent="0.2">
      <c r="A2161" s="704">
        <v>5212</v>
      </c>
      <c r="B2161" s="704">
        <v>5212</v>
      </c>
      <c r="C2161" s="704" t="s">
        <v>572</v>
      </c>
      <c r="D2161" s="704" t="s">
        <v>523</v>
      </c>
      <c r="E2161" s="704">
        <v>0.99999899999999997</v>
      </c>
      <c r="F2161" s="704">
        <v>99.999899999999997</v>
      </c>
      <c r="H2161">
        <f t="shared" si="128"/>
        <v>5212</v>
      </c>
      <c r="I2161" t="str">
        <f t="shared" si="129"/>
        <v>Rest of SA</v>
      </c>
    </row>
    <row r="2162" spans="1:9" x14ac:dyDescent="0.2">
      <c r="A2162" s="704">
        <v>5213</v>
      </c>
      <c r="B2162" s="704">
        <v>5213</v>
      </c>
      <c r="C2162" s="704" t="s">
        <v>572</v>
      </c>
      <c r="D2162" s="704" t="s">
        <v>523</v>
      </c>
      <c r="E2162" s="704">
        <v>1</v>
      </c>
      <c r="F2162" s="704">
        <v>100</v>
      </c>
      <c r="H2162">
        <f t="shared" si="128"/>
        <v>5213</v>
      </c>
      <c r="I2162" t="str">
        <f t="shared" si="129"/>
        <v>Rest of SA</v>
      </c>
    </row>
    <row r="2163" spans="1:9" x14ac:dyDescent="0.2">
      <c r="A2163" s="704">
        <v>5214</v>
      </c>
      <c r="B2163" s="704">
        <v>5214</v>
      </c>
      <c r="C2163" s="704" t="s">
        <v>572</v>
      </c>
      <c r="D2163" s="704" t="s">
        <v>523</v>
      </c>
      <c r="E2163" s="704">
        <v>1</v>
      </c>
      <c r="F2163" s="704">
        <v>100</v>
      </c>
      <c r="H2163">
        <f t="shared" si="128"/>
        <v>5214</v>
      </c>
      <c r="I2163" t="str">
        <f t="shared" si="129"/>
        <v>Rest of SA</v>
      </c>
    </row>
    <row r="2164" spans="1:9" x14ac:dyDescent="0.2">
      <c r="A2164" s="704">
        <v>5220</v>
      </c>
      <c r="B2164" s="704">
        <v>5220</v>
      </c>
      <c r="C2164" s="704" t="s">
        <v>572</v>
      </c>
      <c r="D2164" s="704" t="s">
        <v>523</v>
      </c>
      <c r="E2164" s="704">
        <v>1</v>
      </c>
      <c r="F2164" s="704">
        <v>100</v>
      </c>
      <c r="H2164">
        <f t="shared" si="128"/>
        <v>5220</v>
      </c>
      <c r="I2164" t="str">
        <f t="shared" si="129"/>
        <v>Rest of SA</v>
      </c>
    </row>
    <row r="2165" spans="1:9" x14ac:dyDescent="0.2">
      <c r="A2165" s="704">
        <v>5221</v>
      </c>
      <c r="B2165" s="704">
        <v>5221</v>
      </c>
      <c r="C2165" s="704" t="s">
        <v>572</v>
      </c>
      <c r="D2165" s="704" t="s">
        <v>523</v>
      </c>
      <c r="E2165" s="704">
        <v>0.96816500000000005</v>
      </c>
      <c r="F2165" s="704">
        <v>96.816500000000005</v>
      </c>
      <c r="H2165">
        <f t="shared" si="128"/>
        <v>5221</v>
      </c>
      <c r="I2165" t="str">
        <f t="shared" si="129"/>
        <v>Rest of SA</v>
      </c>
    </row>
    <row r="2166" spans="1:9" x14ac:dyDescent="0.2">
      <c r="A2166" s="704">
        <v>5222</v>
      </c>
      <c r="B2166" s="704">
        <v>5222</v>
      </c>
      <c r="C2166" s="704" t="s">
        <v>572</v>
      </c>
      <c r="D2166" s="704" t="s">
        <v>523</v>
      </c>
      <c r="E2166" s="704">
        <v>0.99810100000000002</v>
      </c>
      <c r="F2166" s="704">
        <v>99.810100000000006</v>
      </c>
      <c r="H2166">
        <f t="shared" si="128"/>
        <v>5222</v>
      </c>
      <c r="I2166" t="str">
        <f t="shared" si="129"/>
        <v>Rest of SA</v>
      </c>
    </row>
    <row r="2167" spans="1:9" x14ac:dyDescent="0.2">
      <c r="A2167" s="704">
        <v>5223</v>
      </c>
      <c r="B2167" s="704">
        <v>5223</v>
      </c>
      <c r="C2167" s="704" t="s">
        <v>572</v>
      </c>
      <c r="D2167" s="704" t="s">
        <v>523</v>
      </c>
      <c r="E2167" s="704">
        <v>0.99831300000000001</v>
      </c>
      <c r="F2167" s="704">
        <v>99.831299999999999</v>
      </c>
      <c r="H2167">
        <f t="shared" si="128"/>
        <v>5223</v>
      </c>
      <c r="I2167" t="str">
        <f t="shared" si="129"/>
        <v>Rest of SA</v>
      </c>
    </row>
    <row r="2168" spans="1:9" x14ac:dyDescent="0.2">
      <c r="A2168" s="704">
        <v>5231</v>
      </c>
      <c r="B2168" s="704">
        <v>5231</v>
      </c>
      <c r="C2168" s="704" t="s">
        <v>585</v>
      </c>
      <c r="D2168" s="704" t="s">
        <v>550</v>
      </c>
      <c r="E2168" s="704">
        <v>1</v>
      </c>
      <c r="F2168" s="704">
        <v>100</v>
      </c>
      <c r="H2168">
        <f t="shared" si="128"/>
        <v>5231</v>
      </c>
      <c r="I2168" t="str">
        <f t="shared" si="129"/>
        <v>Greater Adelaide</v>
      </c>
    </row>
    <row r="2169" spans="1:9" x14ac:dyDescent="0.2">
      <c r="A2169" s="704">
        <v>5232</v>
      </c>
      <c r="B2169" s="704">
        <v>5232</v>
      </c>
      <c r="C2169" s="704" t="s">
        <v>585</v>
      </c>
      <c r="D2169" s="704" t="s">
        <v>550</v>
      </c>
      <c r="E2169" s="704">
        <v>1</v>
      </c>
      <c r="F2169" s="704">
        <v>100</v>
      </c>
      <c r="H2169">
        <f t="shared" ref="H2169:H2232" si="130">A2169*1</f>
        <v>5232</v>
      </c>
      <c r="I2169" t="str">
        <f t="shared" ref="I2169:I2232" si="131">D2169</f>
        <v>Greater Adelaide</v>
      </c>
    </row>
    <row r="2170" spans="1:9" x14ac:dyDescent="0.2">
      <c r="A2170" s="704">
        <v>5233</v>
      </c>
      <c r="B2170" s="704">
        <v>5233</v>
      </c>
      <c r="C2170" s="704" t="s">
        <v>585</v>
      </c>
      <c r="D2170" s="704" t="s">
        <v>550</v>
      </c>
      <c r="E2170" s="704">
        <v>1</v>
      </c>
      <c r="F2170" s="704">
        <v>100</v>
      </c>
      <c r="H2170">
        <f t="shared" si="130"/>
        <v>5233</v>
      </c>
      <c r="I2170" t="str">
        <f t="shared" si="131"/>
        <v>Greater Adelaide</v>
      </c>
    </row>
    <row r="2171" spans="1:9" x14ac:dyDescent="0.2">
      <c r="A2171" s="704">
        <v>5234</v>
      </c>
      <c r="B2171" s="704">
        <v>5234</v>
      </c>
      <c r="C2171" s="704" t="s">
        <v>585</v>
      </c>
      <c r="D2171" s="704" t="s">
        <v>550</v>
      </c>
      <c r="E2171" s="704">
        <v>0.98542200000000002</v>
      </c>
      <c r="F2171" s="704">
        <v>98.542199999999994</v>
      </c>
      <c r="H2171">
        <f t="shared" si="130"/>
        <v>5234</v>
      </c>
      <c r="I2171" t="str">
        <f t="shared" si="131"/>
        <v>Greater Adelaide</v>
      </c>
    </row>
    <row r="2172" spans="1:9" x14ac:dyDescent="0.2">
      <c r="A2172" s="704">
        <v>5234</v>
      </c>
      <c r="B2172" s="704">
        <v>5234</v>
      </c>
      <c r="C2172" s="704" t="s">
        <v>572</v>
      </c>
      <c r="D2172" s="704" t="s">
        <v>523</v>
      </c>
      <c r="E2172" s="704">
        <v>1.45784E-2</v>
      </c>
      <c r="F2172" s="704">
        <v>1.45784</v>
      </c>
      <c r="H2172">
        <f t="shared" si="130"/>
        <v>5234</v>
      </c>
      <c r="I2172" t="str">
        <f t="shared" si="131"/>
        <v>Rest of SA</v>
      </c>
    </row>
    <row r="2173" spans="1:9" x14ac:dyDescent="0.2">
      <c r="A2173" s="704">
        <v>5235</v>
      </c>
      <c r="B2173" s="704">
        <v>5235</v>
      </c>
      <c r="C2173" s="704" t="s">
        <v>585</v>
      </c>
      <c r="D2173" s="704" t="s">
        <v>550</v>
      </c>
      <c r="E2173" s="704">
        <v>2.44768E-2</v>
      </c>
      <c r="F2173" s="704">
        <v>2.4476800000000001</v>
      </c>
      <c r="H2173">
        <f t="shared" si="130"/>
        <v>5235</v>
      </c>
      <c r="I2173" t="str">
        <f t="shared" si="131"/>
        <v>Greater Adelaide</v>
      </c>
    </row>
    <row r="2174" spans="1:9" x14ac:dyDescent="0.2">
      <c r="A2174" s="704">
        <v>5235</v>
      </c>
      <c r="B2174" s="704">
        <v>5235</v>
      </c>
      <c r="C2174" s="704" t="s">
        <v>572</v>
      </c>
      <c r="D2174" s="704" t="s">
        <v>523</v>
      </c>
      <c r="E2174" s="704">
        <v>0.97552300000000003</v>
      </c>
      <c r="F2174" s="704">
        <v>97.552300000000002</v>
      </c>
      <c r="H2174">
        <f t="shared" si="130"/>
        <v>5235</v>
      </c>
      <c r="I2174" t="str">
        <f t="shared" si="131"/>
        <v>Rest of SA</v>
      </c>
    </row>
    <row r="2175" spans="1:9" x14ac:dyDescent="0.2">
      <c r="A2175" s="704">
        <v>5236</v>
      </c>
      <c r="B2175" s="704">
        <v>5236</v>
      </c>
      <c r="C2175" s="704" t="s">
        <v>572</v>
      </c>
      <c r="D2175" s="704" t="s">
        <v>523</v>
      </c>
      <c r="E2175" s="704">
        <v>1</v>
      </c>
      <c r="F2175" s="704">
        <v>100</v>
      </c>
      <c r="H2175">
        <f t="shared" si="130"/>
        <v>5236</v>
      </c>
      <c r="I2175" t="str">
        <f t="shared" si="131"/>
        <v>Rest of SA</v>
      </c>
    </row>
    <row r="2176" spans="1:9" x14ac:dyDescent="0.2">
      <c r="A2176" s="704">
        <v>5237</v>
      </c>
      <c r="B2176" s="704">
        <v>5237</v>
      </c>
      <c r="C2176" s="704" t="s">
        <v>572</v>
      </c>
      <c r="D2176" s="704" t="s">
        <v>523</v>
      </c>
      <c r="E2176" s="704">
        <v>1</v>
      </c>
      <c r="F2176" s="704">
        <v>100</v>
      </c>
      <c r="H2176">
        <f t="shared" si="130"/>
        <v>5237</v>
      </c>
      <c r="I2176" t="str">
        <f t="shared" si="131"/>
        <v>Rest of SA</v>
      </c>
    </row>
    <row r="2177" spans="1:9" x14ac:dyDescent="0.2">
      <c r="A2177" s="704">
        <v>5238</v>
      </c>
      <c r="B2177" s="704">
        <v>5238</v>
      </c>
      <c r="C2177" s="704" t="s">
        <v>572</v>
      </c>
      <c r="D2177" s="704" t="s">
        <v>523</v>
      </c>
      <c r="E2177" s="704">
        <v>1</v>
      </c>
      <c r="F2177" s="704">
        <v>100</v>
      </c>
      <c r="H2177">
        <f t="shared" si="130"/>
        <v>5238</v>
      </c>
      <c r="I2177" t="str">
        <f t="shared" si="131"/>
        <v>Rest of SA</v>
      </c>
    </row>
    <row r="2178" spans="1:9" x14ac:dyDescent="0.2">
      <c r="A2178" s="704">
        <v>5240</v>
      </c>
      <c r="B2178" s="704">
        <v>5240</v>
      </c>
      <c r="C2178" s="704" t="s">
        <v>585</v>
      </c>
      <c r="D2178" s="704" t="s">
        <v>550</v>
      </c>
      <c r="E2178" s="704">
        <v>1</v>
      </c>
      <c r="F2178" s="704">
        <v>100</v>
      </c>
      <c r="H2178">
        <f t="shared" si="130"/>
        <v>5240</v>
      </c>
      <c r="I2178" t="str">
        <f t="shared" si="131"/>
        <v>Greater Adelaide</v>
      </c>
    </row>
    <row r="2179" spans="1:9" x14ac:dyDescent="0.2">
      <c r="A2179" s="704">
        <v>5241</v>
      </c>
      <c r="B2179" s="704">
        <v>5241</v>
      </c>
      <c r="C2179" s="704" t="s">
        <v>585</v>
      </c>
      <c r="D2179" s="704" t="s">
        <v>550</v>
      </c>
      <c r="E2179" s="704">
        <v>1</v>
      </c>
      <c r="F2179" s="704">
        <v>100</v>
      </c>
      <c r="H2179">
        <f t="shared" si="130"/>
        <v>5241</v>
      </c>
      <c r="I2179" t="str">
        <f t="shared" si="131"/>
        <v>Greater Adelaide</v>
      </c>
    </row>
    <row r="2180" spans="1:9" x14ac:dyDescent="0.2">
      <c r="A2180" s="704">
        <v>5242</v>
      </c>
      <c r="B2180" s="704">
        <v>5242</v>
      </c>
      <c r="C2180" s="704" t="s">
        <v>585</v>
      </c>
      <c r="D2180" s="704" t="s">
        <v>550</v>
      </c>
      <c r="E2180" s="704">
        <v>1</v>
      </c>
      <c r="F2180" s="704">
        <v>100</v>
      </c>
      <c r="H2180">
        <f t="shared" si="130"/>
        <v>5242</v>
      </c>
      <c r="I2180" t="str">
        <f t="shared" si="131"/>
        <v>Greater Adelaide</v>
      </c>
    </row>
    <row r="2181" spans="1:9" x14ac:dyDescent="0.2">
      <c r="A2181" s="704">
        <v>5243</v>
      </c>
      <c r="B2181" s="704">
        <v>5243</v>
      </c>
      <c r="C2181" s="704" t="s">
        <v>585</v>
      </c>
      <c r="D2181" s="704" t="s">
        <v>550</v>
      </c>
      <c r="E2181" s="704">
        <v>1</v>
      </c>
      <c r="F2181" s="704">
        <v>100</v>
      </c>
      <c r="H2181">
        <f t="shared" si="130"/>
        <v>5243</v>
      </c>
      <c r="I2181" t="str">
        <f t="shared" si="131"/>
        <v>Greater Adelaide</v>
      </c>
    </row>
    <row r="2182" spans="1:9" x14ac:dyDescent="0.2">
      <c r="A2182" s="704">
        <v>5244</v>
      </c>
      <c r="B2182" s="704">
        <v>5244</v>
      </c>
      <c r="C2182" s="704" t="s">
        <v>585</v>
      </c>
      <c r="D2182" s="704" t="s">
        <v>550</v>
      </c>
      <c r="E2182" s="704">
        <v>0.98906000000000005</v>
      </c>
      <c r="F2182" s="704">
        <v>98.906000000000006</v>
      </c>
      <c r="H2182">
        <f t="shared" si="130"/>
        <v>5244</v>
      </c>
      <c r="I2182" t="str">
        <f t="shared" si="131"/>
        <v>Greater Adelaide</v>
      </c>
    </row>
    <row r="2183" spans="1:9" x14ac:dyDescent="0.2">
      <c r="A2183" s="704">
        <v>5244</v>
      </c>
      <c r="B2183" s="704">
        <v>5244</v>
      </c>
      <c r="C2183" s="704" t="s">
        <v>572</v>
      </c>
      <c r="D2183" s="704" t="s">
        <v>523</v>
      </c>
      <c r="E2183" s="704">
        <v>1.0939600000000001E-2</v>
      </c>
      <c r="F2183" s="704">
        <v>1.09396</v>
      </c>
      <c r="H2183">
        <f t="shared" si="130"/>
        <v>5244</v>
      </c>
      <c r="I2183" t="str">
        <f t="shared" si="131"/>
        <v>Rest of SA</v>
      </c>
    </row>
    <row r="2184" spans="1:9" x14ac:dyDescent="0.2">
      <c r="A2184" s="704">
        <v>5245</v>
      </c>
      <c r="B2184" s="704">
        <v>5245</v>
      </c>
      <c r="C2184" s="704" t="s">
        <v>585</v>
      </c>
      <c r="D2184" s="704" t="s">
        <v>550</v>
      </c>
      <c r="E2184" s="704">
        <v>1</v>
      </c>
      <c r="F2184" s="704">
        <v>100</v>
      </c>
      <c r="H2184">
        <f t="shared" si="130"/>
        <v>5245</v>
      </c>
      <c r="I2184" t="str">
        <f t="shared" si="131"/>
        <v>Greater Adelaide</v>
      </c>
    </row>
    <row r="2185" spans="1:9" x14ac:dyDescent="0.2">
      <c r="A2185" s="704">
        <v>5250</v>
      </c>
      <c r="B2185" s="704">
        <v>5250</v>
      </c>
      <c r="C2185" s="704" t="s">
        <v>585</v>
      </c>
      <c r="D2185" s="704" t="s">
        <v>550</v>
      </c>
      <c r="E2185" s="704">
        <v>1</v>
      </c>
      <c r="F2185" s="704">
        <v>100</v>
      </c>
      <c r="H2185">
        <f t="shared" si="130"/>
        <v>5250</v>
      </c>
      <c r="I2185" t="str">
        <f t="shared" si="131"/>
        <v>Greater Adelaide</v>
      </c>
    </row>
    <row r="2186" spans="1:9" x14ac:dyDescent="0.2">
      <c r="A2186" s="704">
        <v>5251</v>
      </c>
      <c r="B2186" s="704">
        <v>5251</v>
      </c>
      <c r="C2186" s="704" t="s">
        <v>585</v>
      </c>
      <c r="D2186" s="704" t="s">
        <v>550</v>
      </c>
      <c r="E2186" s="704">
        <v>1</v>
      </c>
      <c r="F2186" s="704">
        <v>100</v>
      </c>
      <c r="H2186">
        <f t="shared" si="130"/>
        <v>5251</v>
      </c>
      <c r="I2186" t="str">
        <f t="shared" si="131"/>
        <v>Greater Adelaide</v>
      </c>
    </row>
    <row r="2187" spans="1:9" x14ac:dyDescent="0.2">
      <c r="A2187" s="704">
        <v>5252</v>
      </c>
      <c r="B2187" s="704">
        <v>5252</v>
      </c>
      <c r="C2187" s="704" t="s">
        <v>585</v>
      </c>
      <c r="D2187" s="704" t="s">
        <v>550</v>
      </c>
      <c r="E2187" s="704">
        <v>0.99946699999999999</v>
      </c>
      <c r="F2187" s="704">
        <v>99.946700000000007</v>
      </c>
      <c r="H2187">
        <f t="shared" si="130"/>
        <v>5252</v>
      </c>
      <c r="I2187" t="str">
        <f t="shared" si="131"/>
        <v>Greater Adelaide</v>
      </c>
    </row>
    <row r="2188" spans="1:9" x14ac:dyDescent="0.2">
      <c r="A2188" s="704">
        <v>5252</v>
      </c>
      <c r="B2188" s="704">
        <v>5252</v>
      </c>
      <c r="C2188" s="704" t="s">
        <v>572</v>
      </c>
      <c r="D2188" s="704" t="s">
        <v>523</v>
      </c>
      <c r="E2188" s="704">
        <v>5.3260000000000004E-4</v>
      </c>
      <c r="F2188" s="704">
        <v>5.3264300000000001E-2</v>
      </c>
      <c r="H2188">
        <f t="shared" si="130"/>
        <v>5252</v>
      </c>
      <c r="I2188" t="str">
        <f t="shared" si="131"/>
        <v>Rest of SA</v>
      </c>
    </row>
    <row r="2189" spans="1:9" x14ac:dyDescent="0.2">
      <c r="A2189" s="704">
        <v>5253</v>
      </c>
      <c r="B2189" s="704">
        <v>5253</v>
      </c>
      <c r="C2189" s="704" t="s">
        <v>572</v>
      </c>
      <c r="D2189" s="704" t="s">
        <v>523</v>
      </c>
      <c r="E2189" s="704">
        <v>1</v>
      </c>
      <c r="F2189" s="704">
        <v>100</v>
      </c>
      <c r="H2189">
        <f t="shared" si="130"/>
        <v>5253</v>
      </c>
      <c r="I2189" t="str">
        <f t="shared" si="131"/>
        <v>Rest of SA</v>
      </c>
    </row>
    <row r="2190" spans="1:9" x14ac:dyDescent="0.2">
      <c r="A2190" s="704">
        <v>5254</v>
      </c>
      <c r="B2190" s="704">
        <v>5254</v>
      </c>
      <c r="C2190" s="704" t="s">
        <v>585</v>
      </c>
      <c r="D2190" s="704" t="s">
        <v>550</v>
      </c>
      <c r="E2190" s="704">
        <v>0.16154199999999999</v>
      </c>
      <c r="F2190" s="704">
        <v>16.154199999999999</v>
      </c>
      <c r="H2190">
        <f t="shared" si="130"/>
        <v>5254</v>
      </c>
      <c r="I2190" t="str">
        <f t="shared" si="131"/>
        <v>Greater Adelaide</v>
      </c>
    </row>
    <row r="2191" spans="1:9" x14ac:dyDescent="0.2">
      <c r="A2191" s="704">
        <v>5254</v>
      </c>
      <c r="B2191" s="704">
        <v>5254</v>
      </c>
      <c r="C2191" s="704" t="s">
        <v>572</v>
      </c>
      <c r="D2191" s="704" t="s">
        <v>523</v>
      </c>
      <c r="E2191" s="704">
        <v>0.83845800000000004</v>
      </c>
      <c r="F2191" s="704">
        <v>83.845799999999997</v>
      </c>
      <c r="H2191">
        <f t="shared" si="130"/>
        <v>5254</v>
      </c>
      <c r="I2191" t="str">
        <f t="shared" si="131"/>
        <v>Rest of SA</v>
      </c>
    </row>
    <row r="2192" spans="1:9" x14ac:dyDescent="0.2">
      <c r="A2192" s="704">
        <v>5255</v>
      </c>
      <c r="B2192" s="704">
        <v>5255</v>
      </c>
      <c r="C2192" s="704" t="s">
        <v>585</v>
      </c>
      <c r="D2192" s="704" t="s">
        <v>550</v>
      </c>
      <c r="E2192" s="704">
        <v>8.8889999999999998E-4</v>
      </c>
      <c r="F2192" s="704">
        <v>8.8893100000000003E-2</v>
      </c>
      <c r="H2192">
        <f t="shared" si="130"/>
        <v>5255</v>
      </c>
      <c r="I2192" t="str">
        <f t="shared" si="131"/>
        <v>Greater Adelaide</v>
      </c>
    </row>
    <row r="2193" spans="1:9" x14ac:dyDescent="0.2">
      <c r="A2193" s="704">
        <v>5255</v>
      </c>
      <c r="B2193" s="704">
        <v>5255</v>
      </c>
      <c r="C2193" s="704" t="s">
        <v>572</v>
      </c>
      <c r="D2193" s="704" t="s">
        <v>523</v>
      </c>
      <c r="E2193" s="704">
        <v>0.99911099999999997</v>
      </c>
      <c r="F2193" s="704">
        <v>99.911100000000005</v>
      </c>
      <c r="H2193">
        <f t="shared" si="130"/>
        <v>5255</v>
      </c>
      <c r="I2193" t="str">
        <f t="shared" si="131"/>
        <v>Rest of SA</v>
      </c>
    </row>
    <row r="2194" spans="1:9" x14ac:dyDescent="0.2">
      <c r="A2194" s="704">
        <v>5256</v>
      </c>
      <c r="B2194" s="704">
        <v>5256</v>
      </c>
      <c r="C2194" s="704" t="s">
        <v>572</v>
      </c>
      <c r="D2194" s="704" t="s">
        <v>523</v>
      </c>
      <c r="E2194" s="704">
        <v>1</v>
      </c>
      <c r="F2194" s="704">
        <v>100</v>
      </c>
      <c r="H2194">
        <f t="shared" si="130"/>
        <v>5256</v>
      </c>
      <c r="I2194" t="str">
        <f t="shared" si="131"/>
        <v>Rest of SA</v>
      </c>
    </row>
    <row r="2195" spans="1:9" x14ac:dyDescent="0.2">
      <c r="A2195" s="704">
        <v>5259</v>
      </c>
      <c r="B2195" s="704">
        <v>5259</v>
      </c>
      <c r="C2195" s="704" t="s">
        <v>572</v>
      </c>
      <c r="D2195" s="704" t="s">
        <v>523</v>
      </c>
      <c r="E2195" s="704">
        <v>1</v>
      </c>
      <c r="F2195" s="704">
        <v>100</v>
      </c>
      <c r="H2195">
        <f t="shared" si="130"/>
        <v>5259</v>
      </c>
      <c r="I2195" t="str">
        <f t="shared" si="131"/>
        <v>Rest of SA</v>
      </c>
    </row>
    <row r="2196" spans="1:9" x14ac:dyDescent="0.2">
      <c r="A2196" s="704">
        <v>5260</v>
      </c>
      <c r="B2196" s="704">
        <v>5260</v>
      </c>
      <c r="C2196" s="704" t="s">
        <v>572</v>
      </c>
      <c r="D2196" s="704" t="s">
        <v>523</v>
      </c>
      <c r="E2196" s="704">
        <v>1</v>
      </c>
      <c r="F2196" s="704">
        <v>100</v>
      </c>
      <c r="H2196">
        <f t="shared" si="130"/>
        <v>5260</v>
      </c>
      <c r="I2196" t="str">
        <f t="shared" si="131"/>
        <v>Rest of SA</v>
      </c>
    </row>
    <row r="2197" spans="1:9" x14ac:dyDescent="0.2">
      <c r="A2197" s="704">
        <v>5261</v>
      </c>
      <c r="B2197" s="704">
        <v>5261</v>
      </c>
      <c r="C2197" s="704" t="s">
        <v>572</v>
      </c>
      <c r="D2197" s="704" t="s">
        <v>523</v>
      </c>
      <c r="E2197" s="704">
        <v>1</v>
      </c>
      <c r="F2197" s="704">
        <v>100</v>
      </c>
      <c r="H2197">
        <f t="shared" si="130"/>
        <v>5261</v>
      </c>
      <c r="I2197" t="str">
        <f t="shared" si="131"/>
        <v>Rest of SA</v>
      </c>
    </row>
    <row r="2198" spans="1:9" x14ac:dyDescent="0.2">
      <c r="A2198" s="704">
        <v>5262</v>
      </c>
      <c r="B2198" s="704">
        <v>5262</v>
      </c>
      <c r="C2198" s="704" t="s">
        <v>572</v>
      </c>
      <c r="D2198" s="704" t="s">
        <v>523</v>
      </c>
      <c r="E2198" s="704">
        <v>1</v>
      </c>
      <c r="F2198" s="704">
        <v>100</v>
      </c>
      <c r="H2198">
        <f t="shared" si="130"/>
        <v>5262</v>
      </c>
      <c r="I2198" t="str">
        <f t="shared" si="131"/>
        <v>Rest of SA</v>
      </c>
    </row>
    <row r="2199" spans="1:9" x14ac:dyDescent="0.2">
      <c r="A2199" s="704">
        <v>5263</v>
      </c>
      <c r="B2199" s="704">
        <v>5263</v>
      </c>
      <c r="C2199" s="704" t="s">
        <v>572</v>
      </c>
      <c r="D2199" s="704" t="s">
        <v>523</v>
      </c>
      <c r="E2199" s="704">
        <v>1</v>
      </c>
      <c r="F2199" s="704">
        <v>100</v>
      </c>
      <c r="H2199">
        <f t="shared" si="130"/>
        <v>5263</v>
      </c>
      <c r="I2199" t="str">
        <f t="shared" si="131"/>
        <v>Rest of SA</v>
      </c>
    </row>
    <row r="2200" spans="1:9" x14ac:dyDescent="0.2">
      <c r="A2200" s="704">
        <v>5264</v>
      </c>
      <c r="B2200" s="704">
        <v>5264</v>
      </c>
      <c r="C2200" s="704" t="s">
        <v>572</v>
      </c>
      <c r="D2200" s="704" t="s">
        <v>523</v>
      </c>
      <c r="E2200" s="704">
        <v>1</v>
      </c>
      <c r="F2200" s="704">
        <v>100</v>
      </c>
      <c r="H2200">
        <f t="shared" si="130"/>
        <v>5264</v>
      </c>
      <c r="I2200" t="str">
        <f t="shared" si="131"/>
        <v>Rest of SA</v>
      </c>
    </row>
    <row r="2201" spans="1:9" x14ac:dyDescent="0.2">
      <c r="A2201" s="704">
        <v>5265</v>
      </c>
      <c r="B2201" s="704">
        <v>5265</v>
      </c>
      <c r="C2201" s="704" t="s">
        <v>572</v>
      </c>
      <c r="D2201" s="704" t="s">
        <v>523</v>
      </c>
      <c r="E2201" s="704">
        <v>1</v>
      </c>
      <c r="F2201" s="704">
        <v>100</v>
      </c>
      <c r="H2201">
        <f t="shared" si="130"/>
        <v>5265</v>
      </c>
      <c r="I2201" t="str">
        <f t="shared" si="131"/>
        <v>Rest of SA</v>
      </c>
    </row>
    <row r="2202" spans="1:9" x14ac:dyDescent="0.2">
      <c r="A2202" s="704">
        <v>5266</v>
      </c>
      <c r="B2202" s="704">
        <v>5266</v>
      </c>
      <c r="C2202" s="704" t="s">
        <v>572</v>
      </c>
      <c r="D2202" s="704" t="s">
        <v>523</v>
      </c>
      <c r="E2202" s="704">
        <v>1</v>
      </c>
      <c r="F2202" s="704">
        <v>100</v>
      </c>
      <c r="H2202">
        <f t="shared" si="130"/>
        <v>5266</v>
      </c>
      <c r="I2202" t="str">
        <f t="shared" si="131"/>
        <v>Rest of SA</v>
      </c>
    </row>
    <row r="2203" spans="1:9" x14ac:dyDescent="0.2">
      <c r="A2203" s="704">
        <v>5267</v>
      </c>
      <c r="B2203" s="704">
        <v>5267</v>
      </c>
      <c r="C2203" s="704" t="s">
        <v>572</v>
      </c>
      <c r="D2203" s="704" t="s">
        <v>523</v>
      </c>
      <c r="E2203" s="704">
        <v>1</v>
      </c>
      <c r="F2203" s="704">
        <v>100</v>
      </c>
      <c r="H2203">
        <f t="shared" si="130"/>
        <v>5267</v>
      </c>
      <c r="I2203" t="str">
        <f t="shared" si="131"/>
        <v>Rest of SA</v>
      </c>
    </row>
    <row r="2204" spans="1:9" x14ac:dyDescent="0.2">
      <c r="A2204" s="704">
        <v>5268</v>
      </c>
      <c r="B2204" s="704">
        <v>5268</v>
      </c>
      <c r="C2204" s="704" t="s">
        <v>572</v>
      </c>
      <c r="D2204" s="704" t="s">
        <v>523</v>
      </c>
      <c r="E2204" s="704">
        <v>1</v>
      </c>
      <c r="F2204" s="704">
        <v>100</v>
      </c>
      <c r="H2204">
        <f t="shared" si="130"/>
        <v>5268</v>
      </c>
      <c r="I2204" t="str">
        <f t="shared" si="131"/>
        <v>Rest of SA</v>
      </c>
    </row>
    <row r="2205" spans="1:9" x14ac:dyDescent="0.2">
      <c r="A2205" s="704">
        <v>5269</v>
      </c>
      <c r="B2205" s="704">
        <v>5269</v>
      </c>
      <c r="C2205" s="704" t="s">
        <v>572</v>
      </c>
      <c r="D2205" s="704" t="s">
        <v>523</v>
      </c>
      <c r="E2205" s="704">
        <v>1</v>
      </c>
      <c r="F2205" s="704">
        <v>100</v>
      </c>
      <c r="H2205">
        <f t="shared" si="130"/>
        <v>5269</v>
      </c>
      <c r="I2205" t="str">
        <f t="shared" si="131"/>
        <v>Rest of SA</v>
      </c>
    </row>
    <row r="2206" spans="1:9" x14ac:dyDescent="0.2">
      <c r="A2206" s="704">
        <v>5270</v>
      </c>
      <c r="B2206" s="704">
        <v>5270</v>
      </c>
      <c r="C2206" s="704" t="s">
        <v>572</v>
      </c>
      <c r="D2206" s="704" t="s">
        <v>523</v>
      </c>
      <c r="E2206" s="704">
        <v>1</v>
      </c>
      <c r="F2206" s="704">
        <v>100</v>
      </c>
      <c r="H2206">
        <f t="shared" si="130"/>
        <v>5270</v>
      </c>
      <c r="I2206" t="str">
        <f t="shared" si="131"/>
        <v>Rest of SA</v>
      </c>
    </row>
    <row r="2207" spans="1:9" x14ac:dyDescent="0.2">
      <c r="A2207" s="704">
        <v>5271</v>
      </c>
      <c r="B2207" s="704">
        <v>5271</v>
      </c>
      <c r="C2207" s="704" t="s">
        <v>572</v>
      </c>
      <c r="D2207" s="704" t="s">
        <v>523</v>
      </c>
      <c r="E2207" s="704">
        <v>1</v>
      </c>
      <c r="F2207" s="704">
        <v>100</v>
      </c>
      <c r="H2207">
        <f t="shared" si="130"/>
        <v>5271</v>
      </c>
      <c r="I2207" t="str">
        <f t="shared" si="131"/>
        <v>Rest of SA</v>
      </c>
    </row>
    <row r="2208" spans="1:9" x14ac:dyDescent="0.2">
      <c r="A2208" s="704">
        <v>5272</v>
      </c>
      <c r="B2208" s="704">
        <v>5272</v>
      </c>
      <c r="C2208" s="704" t="s">
        <v>572</v>
      </c>
      <c r="D2208" s="704" t="s">
        <v>523</v>
      </c>
      <c r="E2208" s="704">
        <v>1</v>
      </c>
      <c r="F2208" s="704">
        <v>100</v>
      </c>
      <c r="H2208">
        <f t="shared" si="130"/>
        <v>5272</v>
      </c>
      <c r="I2208" t="str">
        <f t="shared" si="131"/>
        <v>Rest of SA</v>
      </c>
    </row>
    <row r="2209" spans="1:9" x14ac:dyDescent="0.2">
      <c r="A2209" s="704">
        <v>5273</v>
      </c>
      <c r="B2209" s="704">
        <v>5273</v>
      </c>
      <c r="C2209" s="704" t="s">
        <v>572</v>
      </c>
      <c r="D2209" s="704" t="s">
        <v>523</v>
      </c>
      <c r="E2209" s="704">
        <v>1</v>
      </c>
      <c r="F2209" s="704">
        <v>100</v>
      </c>
      <c r="H2209">
        <f t="shared" si="130"/>
        <v>5273</v>
      </c>
      <c r="I2209" t="str">
        <f t="shared" si="131"/>
        <v>Rest of SA</v>
      </c>
    </row>
    <row r="2210" spans="1:9" x14ac:dyDescent="0.2">
      <c r="A2210" s="704">
        <v>5275</v>
      </c>
      <c r="B2210" s="704">
        <v>5275</v>
      </c>
      <c r="C2210" s="704" t="s">
        <v>572</v>
      </c>
      <c r="D2210" s="704" t="s">
        <v>523</v>
      </c>
      <c r="E2210" s="704">
        <v>0.99928700000000004</v>
      </c>
      <c r="F2210" s="704">
        <v>99.928700000000006</v>
      </c>
      <c r="H2210">
        <f t="shared" si="130"/>
        <v>5275</v>
      </c>
      <c r="I2210" t="str">
        <f t="shared" si="131"/>
        <v>Rest of SA</v>
      </c>
    </row>
    <row r="2211" spans="1:9" x14ac:dyDescent="0.2">
      <c r="A2211" s="704">
        <v>5276</v>
      </c>
      <c r="B2211" s="704">
        <v>5276</v>
      </c>
      <c r="C2211" s="704" t="s">
        <v>572</v>
      </c>
      <c r="D2211" s="704" t="s">
        <v>523</v>
      </c>
      <c r="E2211" s="704">
        <v>0.99978500000000003</v>
      </c>
      <c r="F2211" s="704">
        <v>99.978499999999997</v>
      </c>
      <c r="H2211">
        <f t="shared" si="130"/>
        <v>5276</v>
      </c>
      <c r="I2211" t="str">
        <f t="shared" si="131"/>
        <v>Rest of SA</v>
      </c>
    </row>
    <row r="2212" spans="1:9" x14ac:dyDescent="0.2">
      <c r="A2212" s="704">
        <v>5277</v>
      </c>
      <c r="B2212" s="704">
        <v>5277</v>
      </c>
      <c r="C2212" s="704" t="s">
        <v>572</v>
      </c>
      <c r="D2212" s="704" t="s">
        <v>523</v>
      </c>
      <c r="E2212" s="704">
        <v>1</v>
      </c>
      <c r="F2212" s="704">
        <v>100</v>
      </c>
      <c r="H2212">
        <f t="shared" si="130"/>
        <v>5277</v>
      </c>
      <c r="I2212" t="str">
        <f t="shared" si="131"/>
        <v>Rest of SA</v>
      </c>
    </row>
    <row r="2213" spans="1:9" x14ac:dyDescent="0.2">
      <c r="A2213" s="704">
        <v>5278</v>
      </c>
      <c r="B2213" s="704">
        <v>5278</v>
      </c>
      <c r="C2213" s="704" t="s">
        <v>572</v>
      </c>
      <c r="D2213" s="704" t="s">
        <v>523</v>
      </c>
      <c r="E2213" s="704">
        <v>1</v>
      </c>
      <c r="F2213" s="704">
        <v>100</v>
      </c>
      <c r="H2213">
        <f t="shared" si="130"/>
        <v>5278</v>
      </c>
      <c r="I2213" t="str">
        <f t="shared" si="131"/>
        <v>Rest of SA</v>
      </c>
    </row>
    <row r="2214" spans="1:9" x14ac:dyDescent="0.2">
      <c r="A2214" s="704">
        <v>5279</v>
      </c>
      <c r="B2214" s="704">
        <v>5279</v>
      </c>
      <c r="C2214" s="704" t="s">
        <v>572</v>
      </c>
      <c r="D2214" s="704" t="s">
        <v>523</v>
      </c>
      <c r="E2214" s="704">
        <v>1</v>
      </c>
      <c r="F2214" s="704">
        <v>100</v>
      </c>
      <c r="H2214">
        <f t="shared" si="130"/>
        <v>5279</v>
      </c>
      <c r="I2214" t="str">
        <f t="shared" si="131"/>
        <v>Rest of SA</v>
      </c>
    </row>
    <row r="2215" spans="1:9" x14ac:dyDescent="0.2">
      <c r="A2215" s="704">
        <v>5280</v>
      </c>
      <c r="B2215" s="704">
        <v>5280</v>
      </c>
      <c r="C2215" s="704" t="s">
        <v>572</v>
      </c>
      <c r="D2215" s="704" t="s">
        <v>523</v>
      </c>
      <c r="E2215" s="704">
        <v>1</v>
      </c>
      <c r="F2215" s="704">
        <v>100</v>
      </c>
      <c r="H2215">
        <f t="shared" si="130"/>
        <v>5280</v>
      </c>
      <c r="I2215" t="str">
        <f t="shared" si="131"/>
        <v>Rest of SA</v>
      </c>
    </row>
    <row r="2216" spans="1:9" x14ac:dyDescent="0.2">
      <c r="A2216" s="704">
        <v>5290</v>
      </c>
      <c r="B2216" s="704">
        <v>5290</v>
      </c>
      <c r="C2216" s="704" t="s">
        <v>572</v>
      </c>
      <c r="D2216" s="704" t="s">
        <v>523</v>
      </c>
      <c r="E2216" s="704">
        <v>1</v>
      </c>
      <c r="F2216" s="704">
        <v>100</v>
      </c>
      <c r="H2216">
        <f t="shared" si="130"/>
        <v>5290</v>
      </c>
      <c r="I2216" t="str">
        <f t="shared" si="131"/>
        <v>Rest of SA</v>
      </c>
    </row>
    <row r="2217" spans="1:9" x14ac:dyDescent="0.2">
      <c r="A2217" s="704">
        <v>5291</v>
      </c>
      <c r="B2217" s="704">
        <v>5291</v>
      </c>
      <c r="C2217" s="704" t="s">
        <v>572</v>
      </c>
      <c r="D2217" s="704" t="s">
        <v>523</v>
      </c>
      <c r="E2217" s="704">
        <v>0.999027</v>
      </c>
      <c r="F2217" s="704">
        <v>99.902699999999996</v>
      </c>
      <c r="H2217">
        <f t="shared" si="130"/>
        <v>5291</v>
      </c>
      <c r="I2217" t="str">
        <f t="shared" si="131"/>
        <v>Rest of SA</v>
      </c>
    </row>
    <row r="2218" spans="1:9" x14ac:dyDescent="0.2">
      <c r="A2218" s="704">
        <v>5301</v>
      </c>
      <c r="B2218" s="704">
        <v>5301</v>
      </c>
      <c r="C2218" s="704" t="s">
        <v>572</v>
      </c>
      <c r="D2218" s="704" t="s">
        <v>523</v>
      </c>
      <c r="E2218" s="704">
        <v>1</v>
      </c>
      <c r="F2218" s="704">
        <v>100</v>
      </c>
      <c r="H2218">
        <f t="shared" si="130"/>
        <v>5301</v>
      </c>
      <c r="I2218" t="str">
        <f t="shared" si="131"/>
        <v>Rest of SA</v>
      </c>
    </row>
    <row r="2219" spans="1:9" x14ac:dyDescent="0.2">
      <c r="A2219" s="704">
        <v>5302</v>
      </c>
      <c r="B2219" s="704">
        <v>5302</v>
      </c>
      <c r="C2219" s="704" t="s">
        <v>572</v>
      </c>
      <c r="D2219" s="704" t="s">
        <v>523</v>
      </c>
      <c r="E2219" s="704">
        <v>1</v>
      </c>
      <c r="F2219" s="704">
        <v>100</v>
      </c>
      <c r="H2219">
        <f t="shared" si="130"/>
        <v>5302</v>
      </c>
      <c r="I2219" t="str">
        <f t="shared" si="131"/>
        <v>Rest of SA</v>
      </c>
    </row>
    <row r="2220" spans="1:9" x14ac:dyDescent="0.2">
      <c r="A2220" s="704">
        <v>5303</v>
      </c>
      <c r="B2220" s="704">
        <v>5303</v>
      </c>
      <c r="C2220" s="704" t="s">
        <v>572</v>
      </c>
      <c r="D2220" s="704" t="s">
        <v>523</v>
      </c>
      <c r="E2220" s="704">
        <v>1</v>
      </c>
      <c r="F2220" s="704">
        <v>100</v>
      </c>
      <c r="H2220">
        <f t="shared" si="130"/>
        <v>5303</v>
      </c>
      <c r="I2220" t="str">
        <f t="shared" si="131"/>
        <v>Rest of SA</v>
      </c>
    </row>
    <row r="2221" spans="1:9" x14ac:dyDescent="0.2">
      <c r="A2221" s="704">
        <v>5304</v>
      </c>
      <c r="B2221" s="704">
        <v>5304</v>
      </c>
      <c r="C2221" s="704" t="s">
        <v>572</v>
      </c>
      <c r="D2221" s="704" t="s">
        <v>523</v>
      </c>
      <c r="E2221" s="704">
        <v>1</v>
      </c>
      <c r="F2221" s="704">
        <v>100</v>
      </c>
      <c r="H2221">
        <f t="shared" si="130"/>
        <v>5304</v>
      </c>
      <c r="I2221" t="str">
        <f t="shared" si="131"/>
        <v>Rest of SA</v>
      </c>
    </row>
    <row r="2222" spans="1:9" x14ac:dyDescent="0.2">
      <c r="A2222" s="704">
        <v>5306</v>
      </c>
      <c r="B2222" s="704">
        <v>5306</v>
      </c>
      <c r="C2222" s="704" t="s">
        <v>572</v>
      </c>
      <c r="D2222" s="704" t="s">
        <v>523</v>
      </c>
      <c r="E2222" s="704">
        <v>1</v>
      </c>
      <c r="F2222" s="704">
        <v>100</v>
      </c>
      <c r="H2222">
        <f t="shared" si="130"/>
        <v>5306</v>
      </c>
      <c r="I2222" t="str">
        <f t="shared" si="131"/>
        <v>Rest of SA</v>
      </c>
    </row>
    <row r="2223" spans="1:9" x14ac:dyDescent="0.2">
      <c r="A2223" s="704">
        <v>5307</v>
      </c>
      <c r="B2223" s="704">
        <v>5307</v>
      </c>
      <c r="C2223" s="704" t="s">
        <v>572</v>
      </c>
      <c r="D2223" s="704" t="s">
        <v>523</v>
      </c>
      <c r="E2223" s="704">
        <v>1</v>
      </c>
      <c r="F2223" s="704">
        <v>100</v>
      </c>
      <c r="H2223">
        <f t="shared" si="130"/>
        <v>5307</v>
      </c>
      <c r="I2223" t="str">
        <f t="shared" si="131"/>
        <v>Rest of SA</v>
      </c>
    </row>
    <row r="2224" spans="1:9" x14ac:dyDescent="0.2">
      <c r="A2224" s="704">
        <v>5308</v>
      </c>
      <c r="B2224" s="704">
        <v>5308</v>
      </c>
      <c r="C2224" s="704" t="s">
        <v>572</v>
      </c>
      <c r="D2224" s="704" t="s">
        <v>523</v>
      </c>
      <c r="E2224" s="704">
        <v>1</v>
      </c>
      <c r="F2224" s="704">
        <v>100</v>
      </c>
      <c r="H2224">
        <f t="shared" si="130"/>
        <v>5308</v>
      </c>
      <c r="I2224" t="str">
        <f t="shared" si="131"/>
        <v>Rest of SA</v>
      </c>
    </row>
    <row r="2225" spans="1:9" x14ac:dyDescent="0.2">
      <c r="A2225" s="704">
        <v>5309</v>
      </c>
      <c r="B2225" s="704">
        <v>5309</v>
      </c>
      <c r="C2225" s="704" t="s">
        <v>572</v>
      </c>
      <c r="D2225" s="704" t="s">
        <v>523</v>
      </c>
      <c r="E2225" s="704">
        <v>1</v>
      </c>
      <c r="F2225" s="704">
        <v>100</v>
      </c>
      <c r="H2225">
        <f t="shared" si="130"/>
        <v>5309</v>
      </c>
      <c r="I2225" t="str">
        <f t="shared" si="131"/>
        <v>Rest of SA</v>
      </c>
    </row>
    <row r="2226" spans="1:9" x14ac:dyDescent="0.2">
      <c r="A2226" s="704">
        <v>5310</v>
      </c>
      <c r="B2226" s="704">
        <v>5310</v>
      </c>
      <c r="C2226" s="704" t="s">
        <v>572</v>
      </c>
      <c r="D2226" s="704" t="s">
        <v>523</v>
      </c>
      <c r="E2226" s="704">
        <v>1</v>
      </c>
      <c r="F2226" s="704">
        <v>100</v>
      </c>
      <c r="H2226">
        <f t="shared" si="130"/>
        <v>5310</v>
      </c>
      <c r="I2226" t="str">
        <f t="shared" si="131"/>
        <v>Rest of SA</v>
      </c>
    </row>
    <row r="2227" spans="1:9" x14ac:dyDescent="0.2">
      <c r="A2227" s="704">
        <v>5311</v>
      </c>
      <c r="B2227" s="704">
        <v>5311</v>
      </c>
      <c r="C2227" s="704" t="s">
        <v>572</v>
      </c>
      <c r="D2227" s="704" t="s">
        <v>523</v>
      </c>
      <c r="E2227" s="704">
        <v>1</v>
      </c>
      <c r="F2227" s="704">
        <v>100</v>
      </c>
      <c r="H2227">
        <f t="shared" si="130"/>
        <v>5311</v>
      </c>
      <c r="I2227" t="str">
        <f t="shared" si="131"/>
        <v>Rest of SA</v>
      </c>
    </row>
    <row r="2228" spans="1:9" x14ac:dyDescent="0.2">
      <c r="A2228" s="704">
        <v>5320</v>
      </c>
      <c r="B2228" s="704">
        <v>5320</v>
      </c>
      <c r="C2228" s="704" t="s">
        <v>572</v>
      </c>
      <c r="D2228" s="704" t="s">
        <v>523</v>
      </c>
      <c r="E2228" s="704">
        <v>1</v>
      </c>
      <c r="F2228" s="704">
        <v>100</v>
      </c>
      <c r="H2228">
        <f t="shared" si="130"/>
        <v>5320</v>
      </c>
      <c r="I2228" t="str">
        <f t="shared" si="131"/>
        <v>Rest of SA</v>
      </c>
    </row>
    <row r="2229" spans="1:9" x14ac:dyDescent="0.2">
      <c r="A2229" s="704">
        <v>5321</v>
      </c>
      <c r="B2229" s="704">
        <v>5321</v>
      </c>
      <c r="C2229" s="704" t="s">
        <v>572</v>
      </c>
      <c r="D2229" s="704" t="s">
        <v>523</v>
      </c>
      <c r="E2229" s="704">
        <v>1</v>
      </c>
      <c r="F2229" s="704">
        <v>100</v>
      </c>
      <c r="H2229">
        <f t="shared" si="130"/>
        <v>5321</v>
      </c>
      <c r="I2229" t="str">
        <f t="shared" si="131"/>
        <v>Rest of SA</v>
      </c>
    </row>
    <row r="2230" spans="1:9" x14ac:dyDescent="0.2">
      <c r="A2230" s="704">
        <v>5322</v>
      </c>
      <c r="B2230" s="704">
        <v>5322</v>
      </c>
      <c r="C2230" s="704" t="s">
        <v>572</v>
      </c>
      <c r="D2230" s="704" t="s">
        <v>523</v>
      </c>
      <c r="E2230" s="704">
        <v>1</v>
      </c>
      <c r="F2230" s="704">
        <v>100</v>
      </c>
      <c r="H2230">
        <f t="shared" si="130"/>
        <v>5322</v>
      </c>
      <c r="I2230" t="str">
        <f t="shared" si="131"/>
        <v>Rest of SA</v>
      </c>
    </row>
    <row r="2231" spans="1:9" x14ac:dyDescent="0.2">
      <c r="A2231" s="704">
        <v>5330</v>
      </c>
      <c r="B2231" s="704">
        <v>5330</v>
      </c>
      <c r="C2231" s="704" t="s">
        <v>572</v>
      </c>
      <c r="D2231" s="704" t="s">
        <v>523</v>
      </c>
      <c r="E2231" s="704">
        <v>1</v>
      </c>
      <c r="F2231" s="704">
        <v>100</v>
      </c>
      <c r="H2231">
        <f t="shared" si="130"/>
        <v>5330</v>
      </c>
      <c r="I2231" t="str">
        <f t="shared" si="131"/>
        <v>Rest of SA</v>
      </c>
    </row>
    <row r="2232" spans="1:9" x14ac:dyDescent="0.2">
      <c r="A2232" s="704">
        <v>5331</v>
      </c>
      <c r="B2232" s="704">
        <v>5331</v>
      </c>
      <c r="C2232" s="704" t="s">
        <v>572</v>
      </c>
      <c r="D2232" s="704" t="s">
        <v>523</v>
      </c>
      <c r="E2232" s="704">
        <v>1</v>
      </c>
      <c r="F2232" s="704">
        <v>100</v>
      </c>
      <c r="H2232">
        <f t="shared" si="130"/>
        <v>5331</v>
      </c>
      <c r="I2232" t="str">
        <f t="shared" si="131"/>
        <v>Rest of SA</v>
      </c>
    </row>
    <row r="2233" spans="1:9" x14ac:dyDescent="0.2">
      <c r="A2233" s="704">
        <v>5332</v>
      </c>
      <c r="B2233" s="704">
        <v>5332</v>
      </c>
      <c r="C2233" s="704" t="s">
        <v>572</v>
      </c>
      <c r="D2233" s="704" t="s">
        <v>523</v>
      </c>
      <c r="E2233" s="704">
        <v>1</v>
      </c>
      <c r="F2233" s="704">
        <v>100</v>
      </c>
      <c r="H2233">
        <f t="shared" ref="H2233:H2296" si="132">A2233*1</f>
        <v>5332</v>
      </c>
      <c r="I2233" t="str">
        <f t="shared" ref="I2233:I2296" si="133">D2233</f>
        <v>Rest of SA</v>
      </c>
    </row>
    <row r="2234" spans="1:9" x14ac:dyDescent="0.2">
      <c r="A2234" s="704">
        <v>5333</v>
      </c>
      <c r="B2234" s="704">
        <v>5333</v>
      </c>
      <c r="C2234" s="704" t="s">
        <v>572</v>
      </c>
      <c r="D2234" s="704" t="s">
        <v>523</v>
      </c>
      <c r="E2234" s="704">
        <v>1</v>
      </c>
      <c r="F2234" s="704">
        <v>100</v>
      </c>
      <c r="H2234">
        <f t="shared" si="132"/>
        <v>5333</v>
      </c>
      <c r="I2234" t="str">
        <f t="shared" si="133"/>
        <v>Rest of SA</v>
      </c>
    </row>
    <row r="2235" spans="1:9" x14ac:dyDescent="0.2">
      <c r="A2235" s="704">
        <v>5340</v>
      </c>
      <c r="B2235" s="704">
        <v>5340</v>
      </c>
      <c r="C2235" s="704" t="s">
        <v>572</v>
      </c>
      <c r="D2235" s="704" t="s">
        <v>523</v>
      </c>
      <c r="E2235" s="704">
        <v>1</v>
      </c>
      <c r="F2235" s="704">
        <v>100</v>
      </c>
      <c r="H2235">
        <f t="shared" si="132"/>
        <v>5340</v>
      </c>
      <c r="I2235" t="str">
        <f t="shared" si="133"/>
        <v>Rest of SA</v>
      </c>
    </row>
    <row r="2236" spans="1:9" x14ac:dyDescent="0.2">
      <c r="A2236" s="704">
        <v>5341</v>
      </c>
      <c r="B2236" s="704">
        <v>5341</v>
      </c>
      <c r="C2236" s="704" t="s">
        <v>572</v>
      </c>
      <c r="D2236" s="704" t="s">
        <v>523</v>
      </c>
      <c r="E2236" s="704">
        <v>1</v>
      </c>
      <c r="F2236" s="704">
        <v>100</v>
      </c>
      <c r="H2236">
        <f t="shared" si="132"/>
        <v>5341</v>
      </c>
      <c r="I2236" t="str">
        <f t="shared" si="133"/>
        <v>Rest of SA</v>
      </c>
    </row>
    <row r="2237" spans="1:9" x14ac:dyDescent="0.2">
      <c r="A2237" s="704">
        <v>5342</v>
      </c>
      <c r="B2237" s="704">
        <v>5342</v>
      </c>
      <c r="C2237" s="704" t="s">
        <v>572</v>
      </c>
      <c r="D2237" s="704" t="s">
        <v>523</v>
      </c>
      <c r="E2237" s="704">
        <v>1</v>
      </c>
      <c r="F2237" s="704">
        <v>100</v>
      </c>
      <c r="H2237">
        <f t="shared" si="132"/>
        <v>5342</v>
      </c>
      <c r="I2237" t="str">
        <f t="shared" si="133"/>
        <v>Rest of SA</v>
      </c>
    </row>
    <row r="2238" spans="1:9" x14ac:dyDescent="0.2">
      <c r="A2238" s="704">
        <v>5343</v>
      </c>
      <c r="B2238" s="704">
        <v>5343</v>
      </c>
      <c r="C2238" s="704" t="s">
        <v>572</v>
      </c>
      <c r="D2238" s="704" t="s">
        <v>523</v>
      </c>
      <c r="E2238" s="704">
        <v>1</v>
      </c>
      <c r="F2238" s="704">
        <v>100</v>
      </c>
      <c r="H2238">
        <f t="shared" si="132"/>
        <v>5343</v>
      </c>
      <c r="I2238" t="str">
        <f t="shared" si="133"/>
        <v>Rest of SA</v>
      </c>
    </row>
    <row r="2239" spans="1:9" x14ac:dyDescent="0.2">
      <c r="A2239" s="704">
        <v>5344</v>
      </c>
      <c r="B2239" s="704">
        <v>5344</v>
      </c>
      <c r="C2239" s="704" t="s">
        <v>572</v>
      </c>
      <c r="D2239" s="704" t="s">
        <v>523</v>
      </c>
      <c r="E2239" s="704">
        <v>1</v>
      </c>
      <c r="F2239" s="704">
        <v>100</v>
      </c>
      <c r="H2239">
        <f t="shared" si="132"/>
        <v>5344</v>
      </c>
      <c r="I2239" t="str">
        <f t="shared" si="133"/>
        <v>Rest of SA</v>
      </c>
    </row>
    <row r="2240" spans="1:9" x14ac:dyDescent="0.2">
      <c r="A2240" s="704">
        <v>5345</v>
      </c>
      <c r="B2240" s="704">
        <v>5345</v>
      </c>
      <c r="C2240" s="704" t="s">
        <v>572</v>
      </c>
      <c r="D2240" s="704" t="s">
        <v>523</v>
      </c>
      <c r="E2240" s="704">
        <v>1</v>
      </c>
      <c r="F2240" s="704">
        <v>100</v>
      </c>
      <c r="H2240">
        <f t="shared" si="132"/>
        <v>5345</v>
      </c>
      <c r="I2240" t="str">
        <f t="shared" si="133"/>
        <v>Rest of SA</v>
      </c>
    </row>
    <row r="2241" spans="1:9" x14ac:dyDescent="0.2">
      <c r="A2241" s="704">
        <v>5346</v>
      </c>
      <c r="B2241" s="704">
        <v>5346</v>
      </c>
      <c r="C2241" s="704" t="s">
        <v>572</v>
      </c>
      <c r="D2241" s="704" t="s">
        <v>523</v>
      </c>
      <c r="E2241" s="704">
        <v>1</v>
      </c>
      <c r="F2241" s="704">
        <v>100</v>
      </c>
      <c r="H2241">
        <f t="shared" si="132"/>
        <v>5346</v>
      </c>
      <c r="I2241" t="str">
        <f t="shared" si="133"/>
        <v>Rest of SA</v>
      </c>
    </row>
    <row r="2242" spans="1:9" x14ac:dyDescent="0.2">
      <c r="A2242" s="704">
        <v>5350</v>
      </c>
      <c r="B2242" s="704">
        <v>5350</v>
      </c>
      <c r="C2242" s="704" t="s">
        <v>572</v>
      </c>
      <c r="D2242" s="704" t="s">
        <v>523</v>
      </c>
      <c r="E2242" s="704">
        <v>1</v>
      </c>
      <c r="F2242" s="704">
        <v>100</v>
      </c>
      <c r="H2242">
        <f t="shared" si="132"/>
        <v>5350</v>
      </c>
      <c r="I2242" t="str">
        <f t="shared" si="133"/>
        <v>Rest of SA</v>
      </c>
    </row>
    <row r="2243" spans="1:9" x14ac:dyDescent="0.2">
      <c r="A2243" s="704">
        <v>5351</v>
      </c>
      <c r="B2243" s="704">
        <v>5351</v>
      </c>
      <c r="C2243" s="704" t="s">
        <v>572</v>
      </c>
      <c r="D2243" s="704" t="s">
        <v>523</v>
      </c>
      <c r="E2243" s="704">
        <v>1</v>
      </c>
      <c r="F2243" s="704">
        <v>100</v>
      </c>
      <c r="H2243">
        <f t="shared" si="132"/>
        <v>5351</v>
      </c>
      <c r="I2243" t="str">
        <f t="shared" si="133"/>
        <v>Rest of SA</v>
      </c>
    </row>
    <row r="2244" spans="1:9" x14ac:dyDescent="0.2">
      <c r="A2244" s="704">
        <v>5352</v>
      </c>
      <c r="B2244" s="704">
        <v>5352</v>
      </c>
      <c r="C2244" s="704" t="s">
        <v>572</v>
      </c>
      <c r="D2244" s="704" t="s">
        <v>523</v>
      </c>
      <c r="E2244" s="704">
        <v>1</v>
      </c>
      <c r="F2244" s="704">
        <v>100</v>
      </c>
      <c r="H2244">
        <f t="shared" si="132"/>
        <v>5352</v>
      </c>
      <c r="I2244" t="str">
        <f t="shared" si="133"/>
        <v>Rest of SA</v>
      </c>
    </row>
    <row r="2245" spans="1:9" x14ac:dyDescent="0.2">
      <c r="A2245" s="704">
        <v>5353</v>
      </c>
      <c r="B2245" s="704">
        <v>5353</v>
      </c>
      <c r="C2245" s="704" t="s">
        <v>572</v>
      </c>
      <c r="D2245" s="704" t="s">
        <v>523</v>
      </c>
      <c r="E2245" s="704">
        <v>1</v>
      </c>
      <c r="F2245" s="704">
        <v>100</v>
      </c>
      <c r="H2245">
        <f t="shared" si="132"/>
        <v>5353</v>
      </c>
      <c r="I2245" t="str">
        <f t="shared" si="133"/>
        <v>Rest of SA</v>
      </c>
    </row>
    <row r="2246" spans="1:9" x14ac:dyDescent="0.2">
      <c r="A2246" s="704">
        <v>5354</v>
      </c>
      <c r="B2246" s="704">
        <v>5354</v>
      </c>
      <c r="C2246" s="704" t="s">
        <v>572</v>
      </c>
      <c r="D2246" s="704" t="s">
        <v>523</v>
      </c>
      <c r="E2246" s="704">
        <v>1</v>
      </c>
      <c r="F2246" s="704">
        <v>100</v>
      </c>
      <c r="H2246">
        <f t="shared" si="132"/>
        <v>5354</v>
      </c>
      <c r="I2246" t="str">
        <f t="shared" si="133"/>
        <v>Rest of SA</v>
      </c>
    </row>
    <row r="2247" spans="1:9" x14ac:dyDescent="0.2">
      <c r="A2247" s="704">
        <v>5355</v>
      </c>
      <c r="B2247" s="704">
        <v>5355</v>
      </c>
      <c r="C2247" s="704" t="s">
        <v>572</v>
      </c>
      <c r="D2247" s="704" t="s">
        <v>523</v>
      </c>
      <c r="E2247" s="704">
        <v>1</v>
      </c>
      <c r="F2247" s="704">
        <v>100</v>
      </c>
      <c r="H2247">
        <f t="shared" si="132"/>
        <v>5355</v>
      </c>
      <c r="I2247" t="str">
        <f t="shared" si="133"/>
        <v>Rest of SA</v>
      </c>
    </row>
    <row r="2248" spans="1:9" x14ac:dyDescent="0.2">
      <c r="A2248" s="704">
        <v>5356</v>
      </c>
      <c r="B2248" s="704">
        <v>5356</v>
      </c>
      <c r="C2248" s="704" t="s">
        <v>572</v>
      </c>
      <c r="D2248" s="704" t="s">
        <v>523</v>
      </c>
      <c r="E2248" s="704">
        <v>1</v>
      </c>
      <c r="F2248" s="704">
        <v>100</v>
      </c>
      <c r="H2248">
        <f t="shared" si="132"/>
        <v>5356</v>
      </c>
      <c r="I2248" t="str">
        <f t="shared" si="133"/>
        <v>Rest of SA</v>
      </c>
    </row>
    <row r="2249" spans="1:9" x14ac:dyDescent="0.2">
      <c r="A2249" s="704">
        <v>5357</v>
      </c>
      <c r="B2249" s="704">
        <v>5357</v>
      </c>
      <c r="C2249" s="704" t="s">
        <v>572</v>
      </c>
      <c r="D2249" s="704" t="s">
        <v>523</v>
      </c>
      <c r="E2249" s="704">
        <v>1</v>
      </c>
      <c r="F2249" s="704">
        <v>100</v>
      </c>
      <c r="H2249">
        <f t="shared" si="132"/>
        <v>5357</v>
      </c>
      <c r="I2249" t="str">
        <f t="shared" si="133"/>
        <v>Rest of SA</v>
      </c>
    </row>
    <row r="2250" spans="1:9" x14ac:dyDescent="0.2">
      <c r="A2250" s="704">
        <v>5360</v>
      </c>
      <c r="B2250" s="704">
        <v>5360</v>
      </c>
      <c r="C2250" s="704" t="s">
        <v>572</v>
      </c>
      <c r="D2250" s="704" t="s">
        <v>523</v>
      </c>
      <c r="E2250" s="704">
        <v>1</v>
      </c>
      <c r="F2250" s="704">
        <v>100</v>
      </c>
      <c r="H2250">
        <f t="shared" si="132"/>
        <v>5360</v>
      </c>
      <c r="I2250" t="str">
        <f t="shared" si="133"/>
        <v>Rest of SA</v>
      </c>
    </row>
    <row r="2251" spans="1:9" x14ac:dyDescent="0.2">
      <c r="A2251" s="704">
        <v>5371</v>
      </c>
      <c r="B2251" s="704">
        <v>5371</v>
      </c>
      <c r="C2251" s="704" t="s">
        <v>585</v>
      </c>
      <c r="D2251" s="704" t="s">
        <v>550</v>
      </c>
      <c r="E2251" s="704">
        <v>0.83915200000000001</v>
      </c>
      <c r="F2251" s="704">
        <v>83.915199999999999</v>
      </c>
      <c r="H2251">
        <f t="shared" si="132"/>
        <v>5371</v>
      </c>
      <c r="I2251" t="str">
        <f t="shared" si="133"/>
        <v>Greater Adelaide</v>
      </c>
    </row>
    <row r="2252" spans="1:9" x14ac:dyDescent="0.2">
      <c r="A2252" s="704">
        <v>5371</v>
      </c>
      <c r="B2252" s="704">
        <v>5371</v>
      </c>
      <c r="C2252" s="704" t="s">
        <v>572</v>
      </c>
      <c r="D2252" s="704" t="s">
        <v>523</v>
      </c>
      <c r="E2252" s="704">
        <v>0.16084799999999999</v>
      </c>
      <c r="F2252" s="704">
        <v>16.084800000000001</v>
      </c>
      <c r="H2252">
        <f t="shared" si="132"/>
        <v>5371</v>
      </c>
      <c r="I2252" t="str">
        <f t="shared" si="133"/>
        <v>Rest of SA</v>
      </c>
    </row>
    <row r="2253" spans="1:9" x14ac:dyDescent="0.2">
      <c r="A2253" s="704">
        <v>5372</v>
      </c>
      <c r="B2253" s="704">
        <v>5372</v>
      </c>
      <c r="C2253" s="704" t="s">
        <v>585</v>
      </c>
      <c r="D2253" s="704" t="s">
        <v>550</v>
      </c>
      <c r="E2253" s="704">
        <v>4.7232999999999997E-3</v>
      </c>
      <c r="F2253" s="704">
        <v>0.47233399999999998</v>
      </c>
      <c r="H2253">
        <f t="shared" si="132"/>
        <v>5372</v>
      </c>
      <c r="I2253" t="str">
        <f t="shared" si="133"/>
        <v>Greater Adelaide</v>
      </c>
    </row>
    <row r="2254" spans="1:9" x14ac:dyDescent="0.2">
      <c r="A2254" s="704">
        <v>5372</v>
      </c>
      <c r="B2254" s="704">
        <v>5372</v>
      </c>
      <c r="C2254" s="704" t="s">
        <v>572</v>
      </c>
      <c r="D2254" s="704" t="s">
        <v>523</v>
      </c>
      <c r="E2254" s="704">
        <v>0.99527699999999997</v>
      </c>
      <c r="F2254" s="704">
        <v>99.527699999999996</v>
      </c>
      <c r="H2254">
        <f t="shared" si="132"/>
        <v>5372</v>
      </c>
      <c r="I2254" t="str">
        <f t="shared" si="133"/>
        <v>Rest of SA</v>
      </c>
    </row>
    <row r="2255" spans="1:9" x14ac:dyDescent="0.2">
      <c r="A2255" s="704">
        <v>5373</v>
      </c>
      <c r="B2255" s="704">
        <v>5373</v>
      </c>
      <c r="C2255" s="704" t="s">
        <v>572</v>
      </c>
      <c r="D2255" s="704" t="s">
        <v>523</v>
      </c>
      <c r="E2255" s="704">
        <v>1</v>
      </c>
      <c r="F2255" s="704">
        <v>100</v>
      </c>
      <c r="H2255">
        <f t="shared" si="132"/>
        <v>5373</v>
      </c>
      <c r="I2255" t="str">
        <f t="shared" si="133"/>
        <v>Rest of SA</v>
      </c>
    </row>
    <row r="2256" spans="1:9" x14ac:dyDescent="0.2">
      <c r="A2256" s="704">
        <v>5374</v>
      </c>
      <c r="B2256" s="704">
        <v>5374</v>
      </c>
      <c r="C2256" s="704" t="s">
        <v>572</v>
      </c>
      <c r="D2256" s="704" t="s">
        <v>523</v>
      </c>
      <c r="E2256" s="704">
        <v>1</v>
      </c>
      <c r="F2256" s="704">
        <v>100</v>
      </c>
      <c r="H2256">
        <f t="shared" si="132"/>
        <v>5374</v>
      </c>
      <c r="I2256" t="str">
        <f t="shared" si="133"/>
        <v>Rest of SA</v>
      </c>
    </row>
    <row r="2257" spans="1:9" x14ac:dyDescent="0.2">
      <c r="A2257" s="704">
        <v>5381</v>
      </c>
      <c r="B2257" s="704">
        <v>5381</v>
      </c>
      <c r="C2257" s="704" t="s">
        <v>572</v>
      </c>
      <c r="D2257" s="704" t="s">
        <v>523</v>
      </c>
      <c r="E2257" s="704">
        <v>1</v>
      </c>
      <c r="F2257" s="704">
        <v>100</v>
      </c>
      <c r="H2257">
        <f t="shared" si="132"/>
        <v>5381</v>
      </c>
      <c r="I2257" t="str">
        <f t="shared" si="133"/>
        <v>Rest of SA</v>
      </c>
    </row>
    <row r="2258" spans="1:9" x14ac:dyDescent="0.2">
      <c r="A2258" s="704">
        <v>5400</v>
      </c>
      <c r="B2258" s="704">
        <v>5400</v>
      </c>
      <c r="C2258" s="704" t="s">
        <v>585</v>
      </c>
      <c r="D2258" s="704" t="s">
        <v>550</v>
      </c>
      <c r="E2258" s="704">
        <v>4.5165700000000003E-2</v>
      </c>
      <c r="F2258" s="704">
        <v>4.5165699999999998</v>
      </c>
      <c r="H2258">
        <f t="shared" si="132"/>
        <v>5400</v>
      </c>
      <c r="I2258" t="str">
        <f t="shared" si="133"/>
        <v>Greater Adelaide</v>
      </c>
    </row>
    <row r="2259" spans="1:9" x14ac:dyDescent="0.2">
      <c r="A2259" s="704">
        <v>5400</v>
      </c>
      <c r="B2259" s="704">
        <v>5400</v>
      </c>
      <c r="C2259" s="704" t="s">
        <v>572</v>
      </c>
      <c r="D2259" s="704" t="s">
        <v>523</v>
      </c>
      <c r="E2259" s="704">
        <v>0.95483399999999996</v>
      </c>
      <c r="F2259" s="704">
        <v>95.483400000000003</v>
      </c>
      <c r="H2259">
        <f t="shared" si="132"/>
        <v>5400</v>
      </c>
      <c r="I2259" t="str">
        <f t="shared" si="133"/>
        <v>Rest of SA</v>
      </c>
    </row>
    <row r="2260" spans="1:9" x14ac:dyDescent="0.2">
      <c r="A2260" s="704">
        <v>5401</v>
      </c>
      <c r="B2260" s="704">
        <v>5401</v>
      </c>
      <c r="C2260" s="704" t="s">
        <v>572</v>
      </c>
      <c r="D2260" s="704" t="s">
        <v>523</v>
      </c>
      <c r="E2260" s="704">
        <v>1</v>
      </c>
      <c r="F2260" s="704">
        <v>100</v>
      </c>
      <c r="H2260">
        <f t="shared" si="132"/>
        <v>5401</v>
      </c>
      <c r="I2260" t="str">
        <f t="shared" si="133"/>
        <v>Rest of SA</v>
      </c>
    </row>
    <row r="2261" spans="1:9" x14ac:dyDescent="0.2">
      <c r="A2261" s="704">
        <v>5410</v>
      </c>
      <c r="B2261" s="704">
        <v>5410</v>
      </c>
      <c r="C2261" s="704" t="s">
        <v>572</v>
      </c>
      <c r="D2261" s="704" t="s">
        <v>523</v>
      </c>
      <c r="E2261" s="704">
        <v>1</v>
      </c>
      <c r="F2261" s="704">
        <v>100</v>
      </c>
      <c r="H2261">
        <f t="shared" si="132"/>
        <v>5410</v>
      </c>
      <c r="I2261" t="str">
        <f t="shared" si="133"/>
        <v>Rest of SA</v>
      </c>
    </row>
    <row r="2262" spans="1:9" x14ac:dyDescent="0.2">
      <c r="A2262" s="704">
        <v>5411</v>
      </c>
      <c r="B2262" s="704">
        <v>5411</v>
      </c>
      <c r="C2262" s="704" t="s">
        <v>572</v>
      </c>
      <c r="D2262" s="704" t="s">
        <v>523</v>
      </c>
      <c r="E2262" s="704">
        <v>1</v>
      </c>
      <c r="F2262" s="704">
        <v>100</v>
      </c>
      <c r="H2262">
        <f t="shared" si="132"/>
        <v>5411</v>
      </c>
      <c r="I2262" t="str">
        <f t="shared" si="133"/>
        <v>Rest of SA</v>
      </c>
    </row>
    <row r="2263" spans="1:9" x14ac:dyDescent="0.2">
      <c r="A2263" s="704">
        <v>5412</v>
      </c>
      <c r="B2263" s="704">
        <v>5412</v>
      </c>
      <c r="C2263" s="704" t="s">
        <v>572</v>
      </c>
      <c r="D2263" s="704" t="s">
        <v>523</v>
      </c>
      <c r="E2263" s="704">
        <v>1</v>
      </c>
      <c r="F2263" s="704">
        <v>100</v>
      </c>
      <c r="H2263">
        <f t="shared" si="132"/>
        <v>5412</v>
      </c>
      <c r="I2263" t="str">
        <f t="shared" si="133"/>
        <v>Rest of SA</v>
      </c>
    </row>
    <row r="2264" spans="1:9" x14ac:dyDescent="0.2">
      <c r="A2264" s="704">
        <v>5413</v>
      </c>
      <c r="B2264" s="704">
        <v>5413</v>
      </c>
      <c r="C2264" s="704" t="s">
        <v>572</v>
      </c>
      <c r="D2264" s="704" t="s">
        <v>523</v>
      </c>
      <c r="E2264" s="704">
        <v>1</v>
      </c>
      <c r="F2264" s="704">
        <v>100</v>
      </c>
      <c r="H2264">
        <f t="shared" si="132"/>
        <v>5413</v>
      </c>
      <c r="I2264" t="str">
        <f t="shared" si="133"/>
        <v>Rest of SA</v>
      </c>
    </row>
    <row r="2265" spans="1:9" x14ac:dyDescent="0.2">
      <c r="A2265" s="704">
        <v>5414</v>
      </c>
      <c r="B2265" s="704">
        <v>5414</v>
      </c>
      <c r="C2265" s="704" t="s">
        <v>572</v>
      </c>
      <c r="D2265" s="704" t="s">
        <v>523</v>
      </c>
      <c r="E2265" s="704">
        <v>1</v>
      </c>
      <c r="F2265" s="704">
        <v>100</v>
      </c>
      <c r="H2265">
        <f t="shared" si="132"/>
        <v>5414</v>
      </c>
      <c r="I2265" t="str">
        <f t="shared" si="133"/>
        <v>Rest of SA</v>
      </c>
    </row>
    <row r="2266" spans="1:9" x14ac:dyDescent="0.2">
      <c r="A2266" s="704">
        <v>5415</v>
      </c>
      <c r="B2266" s="704">
        <v>5415</v>
      </c>
      <c r="C2266" s="704" t="s">
        <v>572</v>
      </c>
      <c r="D2266" s="704" t="s">
        <v>523</v>
      </c>
      <c r="E2266" s="704">
        <v>1</v>
      </c>
      <c r="F2266" s="704">
        <v>100</v>
      </c>
      <c r="H2266">
        <f t="shared" si="132"/>
        <v>5415</v>
      </c>
      <c r="I2266" t="str">
        <f t="shared" si="133"/>
        <v>Rest of SA</v>
      </c>
    </row>
    <row r="2267" spans="1:9" x14ac:dyDescent="0.2">
      <c r="A2267" s="704">
        <v>5416</v>
      </c>
      <c r="B2267" s="704">
        <v>5416</v>
      </c>
      <c r="C2267" s="704" t="s">
        <v>572</v>
      </c>
      <c r="D2267" s="704" t="s">
        <v>523</v>
      </c>
      <c r="E2267" s="704">
        <v>1</v>
      </c>
      <c r="F2267" s="704">
        <v>100</v>
      </c>
      <c r="H2267">
        <f t="shared" si="132"/>
        <v>5416</v>
      </c>
      <c r="I2267" t="str">
        <f t="shared" si="133"/>
        <v>Rest of SA</v>
      </c>
    </row>
    <row r="2268" spans="1:9" x14ac:dyDescent="0.2">
      <c r="A2268" s="704">
        <v>5417</v>
      </c>
      <c r="B2268" s="704">
        <v>5417</v>
      </c>
      <c r="C2268" s="704" t="s">
        <v>572</v>
      </c>
      <c r="D2268" s="704" t="s">
        <v>523</v>
      </c>
      <c r="E2268" s="704">
        <v>1</v>
      </c>
      <c r="F2268" s="704">
        <v>100</v>
      </c>
      <c r="H2268">
        <f t="shared" si="132"/>
        <v>5417</v>
      </c>
      <c r="I2268" t="str">
        <f t="shared" si="133"/>
        <v>Rest of SA</v>
      </c>
    </row>
    <row r="2269" spans="1:9" x14ac:dyDescent="0.2">
      <c r="A2269" s="704">
        <v>5418</v>
      </c>
      <c r="B2269" s="704">
        <v>5418</v>
      </c>
      <c r="C2269" s="704" t="s">
        <v>572</v>
      </c>
      <c r="D2269" s="704" t="s">
        <v>523</v>
      </c>
      <c r="E2269" s="704">
        <v>1</v>
      </c>
      <c r="F2269" s="704">
        <v>100</v>
      </c>
      <c r="H2269">
        <f t="shared" si="132"/>
        <v>5418</v>
      </c>
      <c r="I2269" t="str">
        <f t="shared" si="133"/>
        <v>Rest of SA</v>
      </c>
    </row>
    <row r="2270" spans="1:9" x14ac:dyDescent="0.2">
      <c r="A2270" s="704">
        <v>5419</v>
      </c>
      <c r="B2270" s="704">
        <v>5419</v>
      </c>
      <c r="C2270" s="704" t="s">
        <v>572</v>
      </c>
      <c r="D2270" s="704" t="s">
        <v>523</v>
      </c>
      <c r="E2270" s="704">
        <v>1</v>
      </c>
      <c r="F2270" s="704">
        <v>100</v>
      </c>
      <c r="H2270">
        <f t="shared" si="132"/>
        <v>5419</v>
      </c>
      <c r="I2270" t="str">
        <f t="shared" si="133"/>
        <v>Rest of SA</v>
      </c>
    </row>
    <row r="2271" spans="1:9" x14ac:dyDescent="0.2">
      <c r="A2271" s="704">
        <v>5420</v>
      </c>
      <c r="B2271" s="704">
        <v>5420</v>
      </c>
      <c r="C2271" s="704" t="s">
        <v>572</v>
      </c>
      <c r="D2271" s="704" t="s">
        <v>523</v>
      </c>
      <c r="E2271" s="704">
        <v>1</v>
      </c>
      <c r="F2271" s="704">
        <v>100</v>
      </c>
      <c r="H2271">
        <f t="shared" si="132"/>
        <v>5420</v>
      </c>
      <c r="I2271" t="str">
        <f t="shared" si="133"/>
        <v>Rest of SA</v>
      </c>
    </row>
    <row r="2272" spans="1:9" x14ac:dyDescent="0.2">
      <c r="A2272" s="704">
        <v>5421</v>
      </c>
      <c r="B2272" s="704">
        <v>5421</v>
      </c>
      <c r="C2272" s="704" t="s">
        <v>572</v>
      </c>
      <c r="D2272" s="704" t="s">
        <v>523</v>
      </c>
      <c r="E2272" s="704">
        <v>1</v>
      </c>
      <c r="F2272" s="704">
        <v>100</v>
      </c>
      <c r="H2272">
        <f t="shared" si="132"/>
        <v>5421</v>
      </c>
      <c r="I2272" t="str">
        <f t="shared" si="133"/>
        <v>Rest of SA</v>
      </c>
    </row>
    <row r="2273" spans="1:9" x14ac:dyDescent="0.2">
      <c r="A2273" s="704">
        <v>5422</v>
      </c>
      <c r="B2273" s="704">
        <v>5422</v>
      </c>
      <c r="C2273" s="704" t="s">
        <v>572</v>
      </c>
      <c r="D2273" s="704" t="s">
        <v>523</v>
      </c>
      <c r="E2273" s="704">
        <v>1</v>
      </c>
      <c r="F2273" s="704">
        <v>100</v>
      </c>
      <c r="H2273">
        <f t="shared" si="132"/>
        <v>5422</v>
      </c>
      <c r="I2273" t="str">
        <f t="shared" si="133"/>
        <v>Rest of SA</v>
      </c>
    </row>
    <row r="2274" spans="1:9" x14ac:dyDescent="0.2">
      <c r="A2274" s="704">
        <v>5431</v>
      </c>
      <c r="B2274" s="704">
        <v>5431</v>
      </c>
      <c r="C2274" s="704" t="s">
        <v>572</v>
      </c>
      <c r="D2274" s="704" t="s">
        <v>523</v>
      </c>
      <c r="E2274" s="704">
        <v>1</v>
      </c>
      <c r="F2274" s="704">
        <v>100</v>
      </c>
      <c r="H2274">
        <f t="shared" si="132"/>
        <v>5431</v>
      </c>
      <c r="I2274" t="str">
        <f t="shared" si="133"/>
        <v>Rest of SA</v>
      </c>
    </row>
    <row r="2275" spans="1:9" x14ac:dyDescent="0.2">
      <c r="A2275" s="704">
        <v>5432</v>
      </c>
      <c r="B2275" s="704">
        <v>5432</v>
      </c>
      <c r="C2275" s="704" t="s">
        <v>572</v>
      </c>
      <c r="D2275" s="704" t="s">
        <v>523</v>
      </c>
      <c r="E2275" s="704">
        <v>1</v>
      </c>
      <c r="F2275" s="704">
        <v>100</v>
      </c>
      <c r="H2275">
        <f t="shared" si="132"/>
        <v>5432</v>
      </c>
      <c r="I2275" t="str">
        <f t="shared" si="133"/>
        <v>Rest of SA</v>
      </c>
    </row>
    <row r="2276" spans="1:9" x14ac:dyDescent="0.2">
      <c r="A2276" s="704">
        <v>5433</v>
      </c>
      <c r="B2276" s="704">
        <v>5433</v>
      </c>
      <c r="C2276" s="704" t="s">
        <v>572</v>
      </c>
      <c r="D2276" s="704" t="s">
        <v>523</v>
      </c>
      <c r="E2276" s="704">
        <v>1</v>
      </c>
      <c r="F2276" s="704">
        <v>100</v>
      </c>
      <c r="H2276">
        <f t="shared" si="132"/>
        <v>5433</v>
      </c>
      <c r="I2276" t="str">
        <f t="shared" si="133"/>
        <v>Rest of SA</v>
      </c>
    </row>
    <row r="2277" spans="1:9" x14ac:dyDescent="0.2">
      <c r="A2277" s="704">
        <v>5434</v>
      </c>
      <c r="B2277" s="704">
        <v>5434</v>
      </c>
      <c r="C2277" s="704" t="s">
        <v>572</v>
      </c>
      <c r="D2277" s="704" t="s">
        <v>523</v>
      </c>
      <c r="E2277" s="704">
        <v>1</v>
      </c>
      <c r="F2277" s="704">
        <v>100</v>
      </c>
      <c r="H2277">
        <f t="shared" si="132"/>
        <v>5434</v>
      </c>
      <c r="I2277" t="str">
        <f t="shared" si="133"/>
        <v>Rest of SA</v>
      </c>
    </row>
    <row r="2278" spans="1:9" x14ac:dyDescent="0.2">
      <c r="A2278" s="704">
        <v>5440</v>
      </c>
      <c r="B2278" s="704">
        <v>5440</v>
      </c>
      <c r="C2278" s="704" t="s">
        <v>572</v>
      </c>
      <c r="D2278" s="704" t="s">
        <v>523</v>
      </c>
      <c r="E2278" s="704">
        <v>1</v>
      </c>
      <c r="F2278" s="704">
        <v>100</v>
      </c>
      <c r="H2278">
        <f t="shared" si="132"/>
        <v>5440</v>
      </c>
      <c r="I2278" t="str">
        <f t="shared" si="133"/>
        <v>Rest of SA</v>
      </c>
    </row>
    <row r="2279" spans="1:9" x14ac:dyDescent="0.2">
      <c r="A2279" s="704">
        <v>5451</v>
      </c>
      <c r="B2279" s="704">
        <v>5451</v>
      </c>
      <c r="C2279" s="704" t="s">
        <v>572</v>
      </c>
      <c r="D2279" s="704" t="s">
        <v>523</v>
      </c>
      <c r="E2279" s="704">
        <v>1</v>
      </c>
      <c r="F2279" s="704">
        <v>100</v>
      </c>
      <c r="H2279">
        <f t="shared" si="132"/>
        <v>5451</v>
      </c>
      <c r="I2279" t="str">
        <f t="shared" si="133"/>
        <v>Rest of SA</v>
      </c>
    </row>
    <row r="2280" spans="1:9" x14ac:dyDescent="0.2">
      <c r="A2280" s="704">
        <v>5452</v>
      </c>
      <c r="B2280" s="704">
        <v>5452</v>
      </c>
      <c r="C2280" s="704" t="s">
        <v>572</v>
      </c>
      <c r="D2280" s="704" t="s">
        <v>523</v>
      </c>
      <c r="E2280" s="704">
        <v>1</v>
      </c>
      <c r="F2280" s="704">
        <v>100</v>
      </c>
      <c r="H2280">
        <f t="shared" si="132"/>
        <v>5452</v>
      </c>
      <c r="I2280" t="str">
        <f t="shared" si="133"/>
        <v>Rest of SA</v>
      </c>
    </row>
    <row r="2281" spans="1:9" x14ac:dyDescent="0.2">
      <c r="A2281" s="704">
        <v>5453</v>
      </c>
      <c r="B2281" s="704">
        <v>5453</v>
      </c>
      <c r="C2281" s="704" t="s">
        <v>572</v>
      </c>
      <c r="D2281" s="704" t="s">
        <v>523</v>
      </c>
      <c r="E2281" s="704">
        <v>1</v>
      </c>
      <c r="F2281" s="704">
        <v>100</v>
      </c>
      <c r="H2281">
        <f t="shared" si="132"/>
        <v>5453</v>
      </c>
      <c r="I2281" t="str">
        <f t="shared" si="133"/>
        <v>Rest of SA</v>
      </c>
    </row>
    <row r="2282" spans="1:9" x14ac:dyDescent="0.2">
      <c r="A2282" s="704">
        <v>5454</v>
      </c>
      <c r="B2282" s="704">
        <v>5454</v>
      </c>
      <c r="C2282" s="704" t="s">
        <v>572</v>
      </c>
      <c r="D2282" s="704" t="s">
        <v>523</v>
      </c>
      <c r="E2282" s="704">
        <v>1</v>
      </c>
      <c r="F2282" s="704">
        <v>100</v>
      </c>
      <c r="H2282">
        <f t="shared" si="132"/>
        <v>5454</v>
      </c>
      <c r="I2282" t="str">
        <f t="shared" si="133"/>
        <v>Rest of SA</v>
      </c>
    </row>
    <row r="2283" spans="1:9" x14ac:dyDescent="0.2">
      <c r="A2283" s="704">
        <v>5455</v>
      </c>
      <c r="B2283" s="704">
        <v>5455</v>
      </c>
      <c r="C2283" s="704" t="s">
        <v>572</v>
      </c>
      <c r="D2283" s="704" t="s">
        <v>523</v>
      </c>
      <c r="E2283" s="704">
        <v>1</v>
      </c>
      <c r="F2283" s="704">
        <v>100</v>
      </c>
      <c r="H2283">
        <f t="shared" si="132"/>
        <v>5455</v>
      </c>
      <c r="I2283" t="str">
        <f t="shared" si="133"/>
        <v>Rest of SA</v>
      </c>
    </row>
    <row r="2284" spans="1:9" x14ac:dyDescent="0.2">
      <c r="A2284" s="704">
        <v>5460</v>
      </c>
      <c r="B2284" s="704">
        <v>5460</v>
      </c>
      <c r="C2284" s="704" t="s">
        <v>572</v>
      </c>
      <c r="D2284" s="704" t="s">
        <v>523</v>
      </c>
      <c r="E2284" s="704">
        <v>1</v>
      </c>
      <c r="F2284" s="704">
        <v>100</v>
      </c>
      <c r="H2284">
        <f t="shared" si="132"/>
        <v>5460</v>
      </c>
      <c r="I2284" t="str">
        <f t="shared" si="133"/>
        <v>Rest of SA</v>
      </c>
    </row>
    <row r="2285" spans="1:9" x14ac:dyDescent="0.2">
      <c r="A2285" s="704">
        <v>5461</v>
      </c>
      <c r="B2285" s="704">
        <v>5461</v>
      </c>
      <c r="C2285" s="704" t="s">
        <v>572</v>
      </c>
      <c r="D2285" s="704" t="s">
        <v>523</v>
      </c>
      <c r="E2285" s="704">
        <v>1</v>
      </c>
      <c r="F2285" s="704">
        <v>100</v>
      </c>
      <c r="H2285">
        <f t="shared" si="132"/>
        <v>5461</v>
      </c>
      <c r="I2285" t="str">
        <f t="shared" si="133"/>
        <v>Rest of SA</v>
      </c>
    </row>
    <row r="2286" spans="1:9" x14ac:dyDescent="0.2">
      <c r="A2286" s="704">
        <v>5462</v>
      </c>
      <c r="B2286" s="704">
        <v>5462</v>
      </c>
      <c r="C2286" s="704" t="s">
        <v>572</v>
      </c>
      <c r="D2286" s="704" t="s">
        <v>523</v>
      </c>
      <c r="E2286" s="704">
        <v>1</v>
      </c>
      <c r="F2286" s="704">
        <v>100</v>
      </c>
      <c r="H2286">
        <f t="shared" si="132"/>
        <v>5462</v>
      </c>
      <c r="I2286" t="str">
        <f t="shared" si="133"/>
        <v>Rest of SA</v>
      </c>
    </row>
    <row r="2287" spans="1:9" x14ac:dyDescent="0.2">
      <c r="A2287" s="704">
        <v>5464</v>
      </c>
      <c r="B2287" s="704">
        <v>5464</v>
      </c>
      <c r="C2287" s="704" t="s">
        <v>572</v>
      </c>
      <c r="D2287" s="704" t="s">
        <v>523</v>
      </c>
      <c r="E2287" s="704">
        <v>1</v>
      </c>
      <c r="F2287" s="704">
        <v>100</v>
      </c>
      <c r="H2287">
        <f t="shared" si="132"/>
        <v>5464</v>
      </c>
      <c r="I2287" t="str">
        <f t="shared" si="133"/>
        <v>Rest of SA</v>
      </c>
    </row>
    <row r="2288" spans="1:9" x14ac:dyDescent="0.2">
      <c r="A2288" s="704">
        <v>5470</v>
      </c>
      <c r="B2288" s="704">
        <v>5470</v>
      </c>
      <c r="C2288" s="704" t="s">
        <v>572</v>
      </c>
      <c r="D2288" s="704" t="s">
        <v>523</v>
      </c>
      <c r="E2288" s="704">
        <v>1</v>
      </c>
      <c r="F2288" s="704">
        <v>100</v>
      </c>
      <c r="H2288">
        <f t="shared" si="132"/>
        <v>5470</v>
      </c>
      <c r="I2288" t="str">
        <f t="shared" si="133"/>
        <v>Rest of SA</v>
      </c>
    </row>
    <row r="2289" spans="1:9" x14ac:dyDescent="0.2">
      <c r="A2289" s="704">
        <v>5471</v>
      </c>
      <c r="B2289" s="704">
        <v>5471</v>
      </c>
      <c r="C2289" s="704" t="s">
        <v>572</v>
      </c>
      <c r="D2289" s="704" t="s">
        <v>523</v>
      </c>
      <c r="E2289" s="704">
        <v>1</v>
      </c>
      <c r="F2289" s="704">
        <v>100</v>
      </c>
      <c r="H2289">
        <f t="shared" si="132"/>
        <v>5471</v>
      </c>
      <c r="I2289" t="str">
        <f t="shared" si="133"/>
        <v>Rest of SA</v>
      </c>
    </row>
    <row r="2290" spans="1:9" x14ac:dyDescent="0.2">
      <c r="A2290" s="704">
        <v>5472</v>
      </c>
      <c r="B2290" s="704">
        <v>5472</v>
      </c>
      <c r="C2290" s="704" t="s">
        <v>572</v>
      </c>
      <c r="D2290" s="704" t="s">
        <v>523</v>
      </c>
      <c r="E2290" s="704">
        <v>1</v>
      </c>
      <c r="F2290" s="704">
        <v>100</v>
      </c>
      <c r="H2290">
        <f t="shared" si="132"/>
        <v>5472</v>
      </c>
      <c r="I2290" t="str">
        <f t="shared" si="133"/>
        <v>Rest of SA</v>
      </c>
    </row>
    <row r="2291" spans="1:9" x14ac:dyDescent="0.2">
      <c r="A2291" s="704">
        <v>5473</v>
      </c>
      <c r="B2291" s="704">
        <v>5473</v>
      </c>
      <c r="C2291" s="704" t="s">
        <v>572</v>
      </c>
      <c r="D2291" s="704" t="s">
        <v>523</v>
      </c>
      <c r="E2291" s="704">
        <v>1</v>
      </c>
      <c r="F2291" s="704">
        <v>100</v>
      </c>
      <c r="H2291">
        <f t="shared" si="132"/>
        <v>5473</v>
      </c>
      <c r="I2291" t="str">
        <f t="shared" si="133"/>
        <v>Rest of SA</v>
      </c>
    </row>
    <row r="2292" spans="1:9" x14ac:dyDescent="0.2">
      <c r="A2292" s="704">
        <v>5480</v>
      </c>
      <c r="B2292" s="704">
        <v>5480</v>
      </c>
      <c r="C2292" s="704" t="s">
        <v>572</v>
      </c>
      <c r="D2292" s="704" t="s">
        <v>523</v>
      </c>
      <c r="E2292" s="704">
        <v>1</v>
      </c>
      <c r="F2292" s="704">
        <v>100</v>
      </c>
      <c r="H2292">
        <f t="shared" si="132"/>
        <v>5480</v>
      </c>
      <c r="I2292" t="str">
        <f t="shared" si="133"/>
        <v>Rest of SA</v>
      </c>
    </row>
    <row r="2293" spans="1:9" x14ac:dyDescent="0.2">
      <c r="A2293" s="704">
        <v>5481</v>
      </c>
      <c r="B2293" s="704">
        <v>5481</v>
      </c>
      <c r="C2293" s="704" t="s">
        <v>572</v>
      </c>
      <c r="D2293" s="704" t="s">
        <v>523</v>
      </c>
      <c r="E2293" s="704">
        <v>1</v>
      </c>
      <c r="F2293" s="704">
        <v>100</v>
      </c>
      <c r="H2293">
        <f t="shared" si="132"/>
        <v>5481</v>
      </c>
      <c r="I2293" t="str">
        <f t="shared" si="133"/>
        <v>Rest of SA</v>
      </c>
    </row>
    <row r="2294" spans="1:9" x14ac:dyDescent="0.2">
      <c r="A2294" s="704">
        <v>5482</v>
      </c>
      <c r="B2294" s="704">
        <v>5482</v>
      </c>
      <c r="C2294" s="704" t="s">
        <v>572</v>
      </c>
      <c r="D2294" s="704" t="s">
        <v>523</v>
      </c>
      <c r="E2294" s="704">
        <v>1</v>
      </c>
      <c r="F2294" s="704">
        <v>100</v>
      </c>
      <c r="H2294">
        <f t="shared" si="132"/>
        <v>5482</v>
      </c>
      <c r="I2294" t="str">
        <f t="shared" si="133"/>
        <v>Rest of SA</v>
      </c>
    </row>
    <row r="2295" spans="1:9" x14ac:dyDescent="0.2">
      <c r="A2295" s="704">
        <v>5483</v>
      </c>
      <c r="B2295" s="704">
        <v>5483</v>
      </c>
      <c r="C2295" s="704" t="s">
        <v>572</v>
      </c>
      <c r="D2295" s="704" t="s">
        <v>523</v>
      </c>
      <c r="E2295" s="704">
        <v>1</v>
      </c>
      <c r="F2295" s="704">
        <v>100</v>
      </c>
      <c r="H2295">
        <f t="shared" si="132"/>
        <v>5483</v>
      </c>
      <c r="I2295" t="str">
        <f t="shared" si="133"/>
        <v>Rest of SA</v>
      </c>
    </row>
    <row r="2296" spans="1:9" x14ac:dyDescent="0.2">
      <c r="A2296" s="704">
        <v>5485</v>
      </c>
      <c r="B2296" s="704">
        <v>5485</v>
      </c>
      <c r="C2296" s="704" t="s">
        <v>572</v>
      </c>
      <c r="D2296" s="704" t="s">
        <v>523</v>
      </c>
      <c r="E2296" s="704">
        <v>1</v>
      </c>
      <c r="F2296" s="704">
        <v>100</v>
      </c>
      <c r="H2296">
        <f t="shared" si="132"/>
        <v>5485</v>
      </c>
      <c r="I2296" t="str">
        <f t="shared" si="133"/>
        <v>Rest of SA</v>
      </c>
    </row>
    <row r="2297" spans="1:9" x14ac:dyDescent="0.2">
      <c r="A2297" s="704">
        <v>5490</v>
      </c>
      <c r="B2297" s="704">
        <v>5490</v>
      </c>
      <c r="C2297" s="704" t="s">
        <v>572</v>
      </c>
      <c r="D2297" s="704" t="s">
        <v>523</v>
      </c>
      <c r="E2297" s="704">
        <v>1</v>
      </c>
      <c r="F2297" s="704">
        <v>100</v>
      </c>
      <c r="H2297">
        <f t="shared" ref="H2297:H2360" si="134">A2297*1</f>
        <v>5490</v>
      </c>
      <c r="I2297" t="str">
        <f t="shared" ref="I2297:I2360" si="135">D2297</f>
        <v>Rest of SA</v>
      </c>
    </row>
    <row r="2298" spans="1:9" x14ac:dyDescent="0.2">
      <c r="A2298" s="704">
        <v>5491</v>
      </c>
      <c r="B2298" s="704">
        <v>5491</v>
      </c>
      <c r="C2298" s="704" t="s">
        <v>572</v>
      </c>
      <c r="D2298" s="704" t="s">
        <v>523</v>
      </c>
      <c r="E2298" s="704">
        <v>1</v>
      </c>
      <c r="F2298" s="704">
        <v>100</v>
      </c>
      <c r="H2298">
        <f t="shared" si="134"/>
        <v>5491</v>
      </c>
      <c r="I2298" t="str">
        <f t="shared" si="135"/>
        <v>Rest of SA</v>
      </c>
    </row>
    <row r="2299" spans="1:9" x14ac:dyDescent="0.2">
      <c r="A2299" s="704">
        <v>5493</v>
      </c>
      <c r="B2299" s="704">
        <v>5493</v>
      </c>
      <c r="C2299" s="704" t="s">
        <v>572</v>
      </c>
      <c r="D2299" s="704" t="s">
        <v>523</v>
      </c>
      <c r="E2299" s="704">
        <v>1</v>
      </c>
      <c r="F2299" s="704">
        <v>100</v>
      </c>
      <c r="H2299">
        <f t="shared" si="134"/>
        <v>5493</v>
      </c>
      <c r="I2299" t="str">
        <f t="shared" si="135"/>
        <v>Rest of SA</v>
      </c>
    </row>
    <row r="2300" spans="1:9" x14ac:dyDescent="0.2">
      <c r="A2300" s="704">
        <v>5495</v>
      </c>
      <c r="B2300" s="704">
        <v>5495</v>
      </c>
      <c r="C2300" s="704" t="s">
        <v>572</v>
      </c>
      <c r="D2300" s="704" t="s">
        <v>523</v>
      </c>
      <c r="E2300" s="704">
        <v>0.99559900000000001</v>
      </c>
      <c r="F2300" s="704">
        <v>99.559899999999999</v>
      </c>
      <c r="H2300">
        <f t="shared" si="134"/>
        <v>5495</v>
      </c>
      <c r="I2300" t="str">
        <f t="shared" si="135"/>
        <v>Rest of SA</v>
      </c>
    </row>
    <row r="2301" spans="1:9" x14ac:dyDescent="0.2">
      <c r="A2301" s="704">
        <v>5501</v>
      </c>
      <c r="B2301" s="704">
        <v>5501</v>
      </c>
      <c r="C2301" s="704" t="s">
        <v>585</v>
      </c>
      <c r="D2301" s="704" t="s">
        <v>550</v>
      </c>
      <c r="E2301" s="704">
        <v>0.77324000000000004</v>
      </c>
      <c r="F2301" s="704">
        <v>77.323999999999998</v>
      </c>
      <c r="H2301">
        <f t="shared" si="134"/>
        <v>5501</v>
      </c>
      <c r="I2301" t="str">
        <f t="shared" si="135"/>
        <v>Greater Adelaide</v>
      </c>
    </row>
    <row r="2302" spans="1:9" x14ac:dyDescent="0.2">
      <c r="A2302" s="704">
        <v>5501</v>
      </c>
      <c r="B2302" s="704">
        <v>5501</v>
      </c>
      <c r="C2302" s="704" t="s">
        <v>572</v>
      </c>
      <c r="D2302" s="704" t="s">
        <v>523</v>
      </c>
      <c r="E2302" s="704">
        <v>0.225409</v>
      </c>
      <c r="F2302" s="704">
        <v>22.540900000000001</v>
      </c>
      <c r="H2302">
        <f t="shared" si="134"/>
        <v>5501</v>
      </c>
      <c r="I2302" t="str">
        <f t="shared" si="135"/>
        <v>Rest of SA</v>
      </c>
    </row>
    <row r="2303" spans="1:9" x14ac:dyDescent="0.2">
      <c r="A2303" s="704">
        <v>5502</v>
      </c>
      <c r="B2303" s="704">
        <v>5502</v>
      </c>
      <c r="C2303" s="704" t="s">
        <v>572</v>
      </c>
      <c r="D2303" s="704" t="s">
        <v>523</v>
      </c>
      <c r="E2303" s="704">
        <v>1</v>
      </c>
      <c r="F2303" s="704">
        <v>100</v>
      </c>
      <c r="H2303">
        <f t="shared" si="134"/>
        <v>5502</v>
      </c>
      <c r="I2303" t="str">
        <f t="shared" si="135"/>
        <v>Rest of SA</v>
      </c>
    </row>
    <row r="2304" spans="1:9" x14ac:dyDescent="0.2">
      <c r="A2304" s="704">
        <v>5510</v>
      </c>
      <c r="B2304" s="704">
        <v>5510</v>
      </c>
      <c r="C2304" s="704" t="s">
        <v>572</v>
      </c>
      <c r="D2304" s="704" t="s">
        <v>523</v>
      </c>
      <c r="E2304" s="704">
        <v>1</v>
      </c>
      <c r="F2304" s="704">
        <v>100</v>
      </c>
      <c r="H2304">
        <f t="shared" si="134"/>
        <v>5510</v>
      </c>
      <c r="I2304" t="str">
        <f t="shared" si="135"/>
        <v>Rest of SA</v>
      </c>
    </row>
    <row r="2305" spans="1:9" x14ac:dyDescent="0.2">
      <c r="A2305" s="704">
        <v>5520</v>
      </c>
      <c r="B2305" s="704">
        <v>5520</v>
      </c>
      <c r="C2305" s="704" t="s">
        <v>572</v>
      </c>
      <c r="D2305" s="704" t="s">
        <v>523</v>
      </c>
      <c r="E2305" s="704">
        <v>1</v>
      </c>
      <c r="F2305" s="704">
        <v>100</v>
      </c>
      <c r="H2305">
        <f t="shared" si="134"/>
        <v>5520</v>
      </c>
      <c r="I2305" t="str">
        <f t="shared" si="135"/>
        <v>Rest of SA</v>
      </c>
    </row>
    <row r="2306" spans="1:9" x14ac:dyDescent="0.2">
      <c r="A2306" s="704">
        <v>5521</v>
      </c>
      <c r="B2306" s="704">
        <v>5521</v>
      </c>
      <c r="C2306" s="704" t="s">
        <v>572</v>
      </c>
      <c r="D2306" s="704" t="s">
        <v>523</v>
      </c>
      <c r="E2306" s="704">
        <v>1</v>
      </c>
      <c r="F2306" s="704">
        <v>100</v>
      </c>
      <c r="H2306">
        <f t="shared" si="134"/>
        <v>5521</v>
      </c>
      <c r="I2306" t="str">
        <f t="shared" si="135"/>
        <v>Rest of SA</v>
      </c>
    </row>
    <row r="2307" spans="1:9" x14ac:dyDescent="0.2">
      <c r="A2307" s="704">
        <v>5522</v>
      </c>
      <c r="B2307" s="704">
        <v>5522</v>
      </c>
      <c r="C2307" s="704" t="s">
        <v>572</v>
      </c>
      <c r="D2307" s="704" t="s">
        <v>523</v>
      </c>
      <c r="E2307" s="704">
        <v>0.99984399999999996</v>
      </c>
      <c r="F2307" s="704">
        <v>99.984399999999994</v>
      </c>
      <c r="H2307">
        <f t="shared" si="134"/>
        <v>5522</v>
      </c>
      <c r="I2307" t="str">
        <f t="shared" si="135"/>
        <v>Rest of SA</v>
      </c>
    </row>
    <row r="2308" spans="1:9" x14ac:dyDescent="0.2">
      <c r="A2308" s="704">
        <v>5523</v>
      </c>
      <c r="B2308" s="704">
        <v>5523</v>
      </c>
      <c r="C2308" s="704" t="s">
        <v>572</v>
      </c>
      <c r="D2308" s="704" t="s">
        <v>523</v>
      </c>
      <c r="E2308" s="704">
        <v>1</v>
      </c>
      <c r="F2308" s="704">
        <v>100</v>
      </c>
      <c r="H2308">
        <f t="shared" si="134"/>
        <v>5523</v>
      </c>
      <c r="I2308" t="str">
        <f t="shared" si="135"/>
        <v>Rest of SA</v>
      </c>
    </row>
    <row r="2309" spans="1:9" x14ac:dyDescent="0.2">
      <c r="A2309" s="704">
        <v>5540</v>
      </c>
      <c r="B2309" s="704">
        <v>5540</v>
      </c>
      <c r="C2309" s="704" t="s">
        <v>572</v>
      </c>
      <c r="D2309" s="704" t="s">
        <v>523</v>
      </c>
      <c r="E2309" s="704">
        <v>0.99999800000000005</v>
      </c>
      <c r="F2309" s="704">
        <v>99.999799999999993</v>
      </c>
      <c r="H2309">
        <f t="shared" si="134"/>
        <v>5540</v>
      </c>
      <c r="I2309" t="str">
        <f t="shared" si="135"/>
        <v>Rest of SA</v>
      </c>
    </row>
    <row r="2310" spans="1:9" x14ac:dyDescent="0.2">
      <c r="A2310" s="704">
        <v>5550</v>
      </c>
      <c r="B2310" s="704">
        <v>5550</v>
      </c>
      <c r="C2310" s="704" t="s">
        <v>572</v>
      </c>
      <c r="D2310" s="704" t="s">
        <v>523</v>
      </c>
      <c r="E2310" s="704">
        <v>1</v>
      </c>
      <c r="F2310" s="704">
        <v>100</v>
      </c>
      <c r="H2310">
        <f t="shared" si="134"/>
        <v>5550</v>
      </c>
      <c r="I2310" t="str">
        <f t="shared" si="135"/>
        <v>Rest of SA</v>
      </c>
    </row>
    <row r="2311" spans="1:9" x14ac:dyDescent="0.2">
      <c r="A2311" s="704">
        <v>5552</v>
      </c>
      <c r="B2311" s="704">
        <v>5552</v>
      </c>
      <c r="C2311" s="704" t="s">
        <v>572</v>
      </c>
      <c r="D2311" s="704" t="s">
        <v>523</v>
      </c>
      <c r="E2311" s="704">
        <v>1</v>
      </c>
      <c r="F2311" s="704">
        <v>100</v>
      </c>
      <c r="H2311">
        <f t="shared" si="134"/>
        <v>5552</v>
      </c>
      <c r="I2311" t="str">
        <f t="shared" si="135"/>
        <v>Rest of SA</v>
      </c>
    </row>
    <row r="2312" spans="1:9" x14ac:dyDescent="0.2">
      <c r="A2312" s="704">
        <v>5554</v>
      </c>
      <c r="B2312" s="704">
        <v>5554</v>
      </c>
      <c r="C2312" s="704" t="s">
        <v>572</v>
      </c>
      <c r="D2312" s="704" t="s">
        <v>523</v>
      </c>
      <c r="E2312" s="704">
        <v>1</v>
      </c>
      <c r="F2312" s="704">
        <v>100</v>
      </c>
      <c r="H2312">
        <f t="shared" si="134"/>
        <v>5554</v>
      </c>
      <c r="I2312" t="str">
        <f t="shared" si="135"/>
        <v>Rest of SA</v>
      </c>
    </row>
    <row r="2313" spans="1:9" x14ac:dyDescent="0.2">
      <c r="A2313" s="704">
        <v>5555</v>
      </c>
      <c r="B2313" s="704">
        <v>5555</v>
      </c>
      <c r="C2313" s="704" t="s">
        <v>572</v>
      </c>
      <c r="D2313" s="704" t="s">
        <v>523</v>
      </c>
      <c r="E2313" s="704">
        <v>0.99972499999999997</v>
      </c>
      <c r="F2313" s="704">
        <v>99.972499999999997</v>
      </c>
      <c r="H2313">
        <f t="shared" si="134"/>
        <v>5555</v>
      </c>
      <c r="I2313" t="str">
        <f t="shared" si="135"/>
        <v>Rest of SA</v>
      </c>
    </row>
    <row r="2314" spans="1:9" x14ac:dyDescent="0.2">
      <c r="A2314" s="704">
        <v>5556</v>
      </c>
      <c r="B2314" s="704">
        <v>5556</v>
      </c>
      <c r="C2314" s="704" t="s">
        <v>572</v>
      </c>
      <c r="D2314" s="704" t="s">
        <v>523</v>
      </c>
      <c r="E2314" s="704">
        <v>0.99999899999999997</v>
      </c>
      <c r="F2314" s="704">
        <v>99.999899999999997</v>
      </c>
      <c r="H2314">
        <f t="shared" si="134"/>
        <v>5556</v>
      </c>
      <c r="I2314" t="str">
        <f t="shared" si="135"/>
        <v>Rest of SA</v>
      </c>
    </row>
    <row r="2315" spans="1:9" x14ac:dyDescent="0.2">
      <c r="A2315" s="704">
        <v>5558</v>
      </c>
      <c r="B2315" s="704">
        <v>5558</v>
      </c>
      <c r="C2315" s="704" t="s">
        <v>572</v>
      </c>
      <c r="D2315" s="704" t="s">
        <v>523</v>
      </c>
      <c r="E2315" s="704">
        <v>0.99956999999999996</v>
      </c>
      <c r="F2315" s="704">
        <v>99.956999999999994</v>
      </c>
      <c r="H2315">
        <f t="shared" si="134"/>
        <v>5558</v>
      </c>
      <c r="I2315" t="str">
        <f t="shared" si="135"/>
        <v>Rest of SA</v>
      </c>
    </row>
    <row r="2316" spans="1:9" x14ac:dyDescent="0.2">
      <c r="A2316" s="704">
        <v>5560</v>
      </c>
      <c r="B2316" s="704">
        <v>5560</v>
      </c>
      <c r="C2316" s="704" t="s">
        <v>572</v>
      </c>
      <c r="D2316" s="704" t="s">
        <v>523</v>
      </c>
      <c r="E2316" s="704">
        <v>1</v>
      </c>
      <c r="F2316" s="704">
        <v>100</v>
      </c>
      <c r="H2316">
        <f t="shared" si="134"/>
        <v>5560</v>
      </c>
      <c r="I2316" t="str">
        <f t="shared" si="135"/>
        <v>Rest of SA</v>
      </c>
    </row>
    <row r="2317" spans="1:9" x14ac:dyDescent="0.2">
      <c r="A2317" s="704">
        <v>5570</v>
      </c>
      <c r="B2317" s="704">
        <v>5570</v>
      </c>
      <c r="C2317" s="704" t="s">
        <v>572</v>
      </c>
      <c r="D2317" s="704" t="s">
        <v>523</v>
      </c>
      <c r="E2317" s="704">
        <v>1</v>
      </c>
      <c r="F2317" s="704">
        <v>100</v>
      </c>
      <c r="H2317">
        <f t="shared" si="134"/>
        <v>5570</v>
      </c>
      <c r="I2317" t="str">
        <f t="shared" si="135"/>
        <v>Rest of SA</v>
      </c>
    </row>
    <row r="2318" spans="1:9" x14ac:dyDescent="0.2">
      <c r="A2318" s="704">
        <v>5571</v>
      </c>
      <c r="B2318" s="704">
        <v>5571</v>
      </c>
      <c r="C2318" s="704" t="s">
        <v>572</v>
      </c>
      <c r="D2318" s="704" t="s">
        <v>523</v>
      </c>
      <c r="E2318" s="704">
        <v>0.999973</v>
      </c>
      <c r="F2318" s="704">
        <v>99.997299999999996</v>
      </c>
      <c r="H2318">
        <f t="shared" si="134"/>
        <v>5571</v>
      </c>
      <c r="I2318" t="str">
        <f t="shared" si="135"/>
        <v>Rest of SA</v>
      </c>
    </row>
    <row r="2319" spans="1:9" x14ac:dyDescent="0.2">
      <c r="A2319" s="704">
        <v>5572</v>
      </c>
      <c r="B2319" s="704">
        <v>5572</v>
      </c>
      <c r="C2319" s="704" t="s">
        <v>572</v>
      </c>
      <c r="D2319" s="704" t="s">
        <v>523</v>
      </c>
      <c r="E2319" s="704">
        <v>1</v>
      </c>
      <c r="F2319" s="704">
        <v>100</v>
      </c>
      <c r="H2319">
        <f t="shared" si="134"/>
        <v>5572</v>
      </c>
      <c r="I2319" t="str">
        <f t="shared" si="135"/>
        <v>Rest of SA</v>
      </c>
    </row>
    <row r="2320" spans="1:9" x14ac:dyDescent="0.2">
      <c r="A2320" s="704">
        <v>5573</v>
      </c>
      <c r="B2320" s="704">
        <v>5573</v>
      </c>
      <c r="C2320" s="704" t="s">
        <v>572</v>
      </c>
      <c r="D2320" s="704" t="s">
        <v>523</v>
      </c>
      <c r="E2320" s="704">
        <v>1</v>
      </c>
      <c r="F2320" s="704">
        <v>100</v>
      </c>
      <c r="H2320">
        <f t="shared" si="134"/>
        <v>5573</v>
      </c>
      <c r="I2320" t="str">
        <f t="shared" si="135"/>
        <v>Rest of SA</v>
      </c>
    </row>
    <row r="2321" spans="1:9" x14ac:dyDescent="0.2">
      <c r="A2321" s="704">
        <v>5575</v>
      </c>
      <c r="B2321" s="704">
        <v>5575</v>
      </c>
      <c r="C2321" s="704" t="s">
        <v>572</v>
      </c>
      <c r="D2321" s="704" t="s">
        <v>523</v>
      </c>
      <c r="E2321" s="704">
        <v>0.99876500000000001</v>
      </c>
      <c r="F2321" s="704">
        <v>99.876499999999993</v>
      </c>
      <c r="H2321">
        <f t="shared" si="134"/>
        <v>5575</v>
      </c>
      <c r="I2321" t="str">
        <f t="shared" si="135"/>
        <v>Rest of SA</v>
      </c>
    </row>
    <row r="2322" spans="1:9" x14ac:dyDescent="0.2">
      <c r="A2322" s="704">
        <v>5576</v>
      </c>
      <c r="B2322" s="704">
        <v>5576</v>
      </c>
      <c r="C2322" s="704" t="s">
        <v>572</v>
      </c>
      <c r="D2322" s="704" t="s">
        <v>523</v>
      </c>
      <c r="E2322" s="704">
        <v>1</v>
      </c>
      <c r="F2322" s="704">
        <v>100</v>
      </c>
      <c r="H2322">
        <f t="shared" si="134"/>
        <v>5576</v>
      </c>
      <c r="I2322" t="str">
        <f t="shared" si="135"/>
        <v>Rest of SA</v>
      </c>
    </row>
    <row r="2323" spans="1:9" x14ac:dyDescent="0.2">
      <c r="A2323" s="704">
        <v>5577</v>
      </c>
      <c r="B2323" s="704">
        <v>5577</v>
      </c>
      <c r="C2323" s="704" t="s">
        <v>572</v>
      </c>
      <c r="D2323" s="704" t="s">
        <v>523</v>
      </c>
      <c r="E2323" s="704">
        <v>0.99999800000000005</v>
      </c>
      <c r="F2323" s="704">
        <v>99.999799999999993</v>
      </c>
      <c r="H2323">
        <f t="shared" si="134"/>
        <v>5577</v>
      </c>
      <c r="I2323" t="str">
        <f t="shared" si="135"/>
        <v>Rest of SA</v>
      </c>
    </row>
    <row r="2324" spans="1:9" x14ac:dyDescent="0.2">
      <c r="A2324" s="704">
        <v>5580</v>
      </c>
      <c r="B2324" s="704">
        <v>5580</v>
      </c>
      <c r="C2324" s="704" t="s">
        <v>572</v>
      </c>
      <c r="D2324" s="704" t="s">
        <v>523</v>
      </c>
      <c r="E2324" s="704">
        <v>1</v>
      </c>
      <c r="F2324" s="704">
        <v>100</v>
      </c>
      <c r="H2324">
        <f t="shared" si="134"/>
        <v>5580</v>
      </c>
      <c r="I2324" t="str">
        <f t="shared" si="135"/>
        <v>Rest of SA</v>
      </c>
    </row>
    <row r="2325" spans="1:9" x14ac:dyDescent="0.2">
      <c r="A2325" s="704">
        <v>5581</v>
      </c>
      <c r="B2325" s="704">
        <v>5581</v>
      </c>
      <c r="C2325" s="704" t="s">
        <v>572</v>
      </c>
      <c r="D2325" s="704" t="s">
        <v>523</v>
      </c>
      <c r="E2325" s="704">
        <v>1</v>
      </c>
      <c r="F2325" s="704">
        <v>100</v>
      </c>
      <c r="H2325">
        <f t="shared" si="134"/>
        <v>5581</v>
      </c>
      <c r="I2325" t="str">
        <f t="shared" si="135"/>
        <v>Rest of SA</v>
      </c>
    </row>
    <row r="2326" spans="1:9" x14ac:dyDescent="0.2">
      <c r="A2326" s="704">
        <v>5582</v>
      </c>
      <c r="B2326" s="704">
        <v>5582</v>
      </c>
      <c r="C2326" s="704" t="s">
        <v>572</v>
      </c>
      <c r="D2326" s="704" t="s">
        <v>523</v>
      </c>
      <c r="E2326" s="704">
        <v>0.99731000000000003</v>
      </c>
      <c r="F2326" s="704">
        <v>99.730999999999995</v>
      </c>
      <c r="H2326">
        <f t="shared" si="134"/>
        <v>5582</v>
      </c>
      <c r="I2326" t="str">
        <f t="shared" si="135"/>
        <v>Rest of SA</v>
      </c>
    </row>
    <row r="2327" spans="1:9" x14ac:dyDescent="0.2">
      <c r="A2327" s="704">
        <v>5583</v>
      </c>
      <c r="B2327" s="704">
        <v>5583</v>
      </c>
      <c r="C2327" s="704" t="s">
        <v>572</v>
      </c>
      <c r="D2327" s="704" t="s">
        <v>523</v>
      </c>
      <c r="E2327" s="704">
        <v>0.996529</v>
      </c>
      <c r="F2327" s="704">
        <v>99.652900000000002</v>
      </c>
      <c r="H2327">
        <f t="shared" si="134"/>
        <v>5583</v>
      </c>
      <c r="I2327" t="str">
        <f t="shared" si="135"/>
        <v>Rest of SA</v>
      </c>
    </row>
    <row r="2328" spans="1:9" x14ac:dyDescent="0.2">
      <c r="A2328" s="704">
        <v>5600</v>
      </c>
      <c r="B2328" s="704">
        <v>5600</v>
      </c>
      <c r="C2328" s="704" t="s">
        <v>572</v>
      </c>
      <c r="D2328" s="704" t="s">
        <v>523</v>
      </c>
      <c r="E2328" s="704">
        <v>0.99991600000000003</v>
      </c>
      <c r="F2328" s="704">
        <v>99.991600000000005</v>
      </c>
      <c r="H2328">
        <f t="shared" si="134"/>
        <v>5600</v>
      </c>
      <c r="I2328" t="str">
        <f t="shared" si="135"/>
        <v>Rest of SA</v>
      </c>
    </row>
    <row r="2329" spans="1:9" x14ac:dyDescent="0.2">
      <c r="A2329" s="704">
        <v>5601</v>
      </c>
      <c r="B2329" s="704">
        <v>5601</v>
      </c>
      <c r="C2329" s="704" t="s">
        <v>572</v>
      </c>
      <c r="D2329" s="704" t="s">
        <v>523</v>
      </c>
      <c r="E2329" s="704">
        <v>0.96448</v>
      </c>
      <c r="F2329" s="704">
        <v>96.447999999999993</v>
      </c>
      <c r="H2329">
        <f t="shared" si="134"/>
        <v>5601</v>
      </c>
      <c r="I2329" t="str">
        <f t="shared" si="135"/>
        <v>Rest of SA</v>
      </c>
    </row>
    <row r="2330" spans="1:9" x14ac:dyDescent="0.2">
      <c r="A2330" s="704">
        <v>5602</v>
      </c>
      <c r="B2330" s="704">
        <v>5602</v>
      </c>
      <c r="C2330" s="704" t="s">
        <v>572</v>
      </c>
      <c r="D2330" s="704" t="s">
        <v>523</v>
      </c>
      <c r="E2330" s="704">
        <v>0.99955899999999998</v>
      </c>
      <c r="F2330" s="704">
        <v>99.9559</v>
      </c>
      <c r="H2330">
        <f t="shared" si="134"/>
        <v>5602</v>
      </c>
      <c r="I2330" t="str">
        <f t="shared" si="135"/>
        <v>Rest of SA</v>
      </c>
    </row>
    <row r="2331" spans="1:9" x14ac:dyDescent="0.2">
      <c r="A2331" s="704">
        <v>5603</v>
      </c>
      <c r="B2331" s="704">
        <v>5603</v>
      </c>
      <c r="C2331" s="704" t="s">
        <v>572</v>
      </c>
      <c r="D2331" s="704" t="s">
        <v>523</v>
      </c>
      <c r="E2331" s="704">
        <v>1</v>
      </c>
      <c r="F2331" s="704">
        <v>100</v>
      </c>
      <c r="H2331">
        <f t="shared" si="134"/>
        <v>5603</v>
      </c>
      <c r="I2331" t="str">
        <f t="shared" si="135"/>
        <v>Rest of SA</v>
      </c>
    </row>
    <row r="2332" spans="1:9" x14ac:dyDescent="0.2">
      <c r="A2332" s="704">
        <v>5604</v>
      </c>
      <c r="B2332" s="704">
        <v>5604</v>
      </c>
      <c r="C2332" s="704" t="s">
        <v>572</v>
      </c>
      <c r="D2332" s="704" t="s">
        <v>523</v>
      </c>
      <c r="E2332" s="704">
        <v>0.99204999999999999</v>
      </c>
      <c r="F2332" s="704">
        <v>99.204999999999998</v>
      </c>
      <c r="H2332">
        <f t="shared" si="134"/>
        <v>5604</v>
      </c>
      <c r="I2332" t="str">
        <f t="shared" si="135"/>
        <v>Rest of SA</v>
      </c>
    </row>
    <row r="2333" spans="1:9" x14ac:dyDescent="0.2">
      <c r="A2333" s="704">
        <v>5605</v>
      </c>
      <c r="B2333" s="704">
        <v>5605</v>
      </c>
      <c r="C2333" s="704" t="s">
        <v>572</v>
      </c>
      <c r="D2333" s="704" t="s">
        <v>523</v>
      </c>
      <c r="E2333" s="704">
        <v>1</v>
      </c>
      <c r="F2333" s="704">
        <v>100</v>
      </c>
      <c r="H2333">
        <f t="shared" si="134"/>
        <v>5605</v>
      </c>
      <c r="I2333" t="str">
        <f t="shared" si="135"/>
        <v>Rest of SA</v>
      </c>
    </row>
    <row r="2334" spans="1:9" x14ac:dyDescent="0.2">
      <c r="A2334" s="704">
        <v>5606</v>
      </c>
      <c r="B2334" s="704">
        <v>5606</v>
      </c>
      <c r="C2334" s="704" t="s">
        <v>572</v>
      </c>
      <c r="D2334" s="704" t="s">
        <v>523</v>
      </c>
      <c r="E2334" s="704">
        <v>0.99279499999999998</v>
      </c>
      <c r="F2334" s="704">
        <v>99.279499999999999</v>
      </c>
      <c r="H2334">
        <f t="shared" si="134"/>
        <v>5606</v>
      </c>
      <c r="I2334" t="str">
        <f t="shared" si="135"/>
        <v>Rest of SA</v>
      </c>
    </row>
    <row r="2335" spans="1:9" x14ac:dyDescent="0.2">
      <c r="A2335" s="704">
        <v>5607</v>
      </c>
      <c r="B2335" s="704">
        <v>5607</v>
      </c>
      <c r="C2335" s="704" t="s">
        <v>572</v>
      </c>
      <c r="D2335" s="704" t="s">
        <v>523</v>
      </c>
      <c r="E2335" s="704">
        <v>0.99775400000000003</v>
      </c>
      <c r="F2335" s="704">
        <v>99.775499999999994</v>
      </c>
      <c r="H2335">
        <f t="shared" si="134"/>
        <v>5607</v>
      </c>
      <c r="I2335" t="str">
        <f t="shared" si="135"/>
        <v>Rest of SA</v>
      </c>
    </row>
    <row r="2336" spans="1:9" x14ac:dyDescent="0.2">
      <c r="A2336" s="704">
        <v>5608</v>
      </c>
      <c r="B2336" s="704">
        <v>5608</v>
      </c>
      <c r="C2336" s="704" t="s">
        <v>572</v>
      </c>
      <c r="D2336" s="704" t="s">
        <v>523</v>
      </c>
      <c r="E2336" s="704">
        <v>1</v>
      </c>
      <c r="F2336" s="704">
        <v>100</v>
      </c>
      <c r="H2336">
        <f t="shared" si="134"/>
        <v>5608</v>
      </c>
      <c r="I2336" t="str">
        <f t="shared" si="135"/>
        <v>Rest of SA</v>
      </c>
    </row>
    <row r="2337" spans="1:9" x14ac:dyDescent="0.2">
      <c r="A2337" s="704">
        <v>5609</v>
      </c>
      <c r="B2337" s="704">
        <v>5609</v>
      </c>
      <c r="C2337" s="704" t="s">
        <v>572</v>
      </c>
      <c r="D2337" s="704" t="s">
        <v>523</v>
      </c>
      <c r="E2337" s="704">
        <v>1</v>
      </c>
      <c r="F2337" s="704">
        <v>100</v>
      </c>
      <c r="H2337">
        <f t="shared" si="134"/>
        <v>5609</v>
      </c>
      <c r="I2337" t="str">
        <f t="shared" si="135"/>
        <v>Rest of SA</v>
      </c>
    </row>
    <row r="2338" spans="1:9" x14ac:dyDescent="0.2">
      <c r="A2338" s="704">
        <v>5630</v>
      </c>
      <c r="B2338" s="704">
        <v>5630</v>
      </c>
      <c r="C2338" s="704" t="s">
        <v>572</v>
      </c>
      <c r="D2338" s="704" t="s">
        <v>523</v>
      </c>
      <c r="E2338" s="704">
        <v>1</v>
      </c>
      <c r="F2338" s="704">
        <v>100</v>
      </c>
      <c r="H2338">
        <f t="shared" si="134"/>
        <v>5630</v>
      </c>
      <c r="I2338" t="str">
        <f t="shared" si="135"/>
        <v>Rest of SA</v>
      </c>
    </row>
    <row r="2339" spans="1:9" x14ac:dyDescent="0.2">
      <c r="A2339" s="704">
        <v>5631</v>
      </c>
      <c r="B2339" s="704">
        <v>5631</v>
      </c>
      <c r="C2339" s="704" t="s">
        <v>572</v>
      </c>
      <c r="D2339" s="704" t="s">
        <v>523</v>
      </c>
      <c r="E2339" s="704">
        <v>1</v>
      </c>
      <c r="F2339" s="704">
        <v>100</v>
      </c>
      <c r="H2339">
        <f t="shared" si="134"/>
        <v>5631</v>
      </c>
      <c r="I2339" t="str">
        <f t="shared" si="135"/>
        <v>Rest of SA</v>
      </c>
    </row>
    <row r="2340" spans="1:9" x14ac:dyDescent="0.2">
      <c r="A2340" s="704">
        <v>5632</v>
      </c>
      <c r="B2340" s="704">
        <v>5632</v>
      </c>
      <c r="C2340" s="704" t="s">
        <v>572</v>
      </c>
      <c r="D2340" s="704" t="s">
        <v>523</v>
      </c>
      <c r="E2340" s="704">
        <v>1</v>
      </c>
      <c r="F2340" s="704">
        <v>100</v>
      </c>
      <c r="H2340">
        <f t="shared" si="134"/>
        <v>5632</v>
      </c>
      <c r="I2340" t="str">
        <f t="shared" si="135"/>
        <v>Rest of SA</v>
      </c>
    </row>
    <row r="2341" spans="1:9" x14ac:dyDescent="0.2">
      <c r="A2341" s="704">
        <v>5633</v>
      </c>
      <c r="B2341" s="704">
        <v>5633</v>
      </c>
      <c r="C2341" s="704" t="s">
        <v>572</v>
      </c>
      <c r="D2341" s="704" t="s">
        <v>523</v>
      </c>
      <c r="E2341" s="704">
        <v>1</v>
      </c>
      <c r="F2341" s="704">
        <v>100</v>
      </c>
      <c r="H2341">
        <f t="shared" si="134"/>
        <v>5633</v>
      </c>
      <c r="I2341" t="str">
        <f t="shared" si="135"/>
        <v>Rest of SA</v>
      </c>
    </row>
    <row r="2342" spans="1:9" x14ac:dyDescent="0.2">
      <c r="A2342" s="704">
        <v>5640</v>
      </c>
      <c r="B2342" s="704">
        <v>5640</v>
      </c>
      <c r="C2342" s="704" t="s">
        <v>572</v>
      </c>
      <c r="D2342" s="704" t="s">
        <v>523</v>
      </c>
      <c r="E2342" s="704">
        <v>1</v>
      </c>
      <c r="F2342" s="704">
        <v>100</v>
      </c>
      <c r="H2342">
        <f t="shared" si="134"/>
        <v>5640</v>
      </c>
      <c r="I2342" t="str">
        <f t="shared" si="135"/>
        <v>Rest of SA</v>
      </c>
    </row>
    <row r="2343" spans="1:9" x14ac:dyDescent="0.2">
      <c r="A2343" s="704">
        <v>5641</v>
      </c>
      <c r="B2343" s="704">
        <v>5641</v>
      </c>
      <c r="C2343" s="704" t="s">
        <v>572</v>
      </c>
      <c r="D2343" s="704" t="s">
        <v>523</v>
      </c>
      <c r="E2343" s="704">
        <v>1</v>
      </c>
      <c r="F2343" s="704">
        <v>100</v>
      </c>
      <c r="H2343">
        <f t="shared" si="134"/>
        <v>5641</v>
      </c>
      <c r="I2343" t="str">
        <f t="shared" si="135"/>
        <v>Rest of SA</v>
      </c>
    </row>
    <row r="2344" spans="1:9" x14ac:dyDescent="0.2">
      <c r="A2344" s="704">
        <v>5642</v>
      </c>
      <c r="B2344" s="704">
        <v>5642</v>
      </c>
      <c r="C2344" s="704" t="s">
        <v>572</v>
      </c>
      <c r="D2344" s="704" t="s">
        <v>523</v>
      </c>
      <c r="E2344" s="704">
        <v>1</v>
      </c>
      <c r="F2344" s="704">
        <v>100</v>
      </c>
      <c r="H2344">
        <f t="shared" si="134"/>
        <v>5642</v>
      </c>
      <c r="I2344" t="str">
        <f t="shared" si="135"/>
        <v>Rest of SA</v>
      </c>
    </row>
    <row r="2345" spans="1:9" x14ac:dyDescent="0.2">
      <c r="A2345" s="704">
        <v>5650</v>
      </c>
      <c r="B2345" s="704">
        <v>5650</v>
      </c>
      <c r="C2345" s="704" t="s">
        <v>572</v>
      </c>
      <c r="D2345" s="704" t="s">
        <v>523</v>
      </c>
      <c r="E2345" s="704">
        <v>1</v>
      </c>
      <c r="F2345" s="704">
        <v>100</v>
      </c>
      <c r="H2345">
        <f t="shared" si="134"/>
        <v>5650</v>
      </c>
      <c r="I2345" t="str">
        <f t="shared" si="135"/>
        <v>Rest of SA</v>
      </c>
    </row>
    <row r="2346" spans="1:9" x14ac:dyDescent="0.2">
      <c r="A2346" s="704">
        <v>5651</v>
      </c>
      <c r="B2346" s="704">
        <v>5651</v>
      </c>
      <c r="C2346" s="704" t="s">
        <v>572</v>
      </c>
      <c r="D2346" s="704" t="s">
        <v>523</v>
      </c>
      <c r="E2346" s="704">
        <v>1</v>
      </c>
      <c r="F2346" s="704">
        <v>100</v>
      </c>
      <c r="H2346">
        <f t="shared" si="134"/>
        <v>5651</v>
      </c>
      <c r="I2346" t="str">
        <f t="shared" si="135"/>
        <v>Rest of SA</v>
      </c>
    </row>
    <row r="2347" spans="1:9" x14ac:dyDescent="0.2">
      <c r="A2347" s="704">
        <v>5652</v>
      </c>
      <c r="B2347" s="704">
        <v>5652</v>
      </c>
      <c r="C2347" s="704" t="s">
        <v>572</v>
      </c>
      <c r="D2347" s="704" t="s">
        <v>523</v>
      </c>
      <c r="E2347" s="704">
        <v>1</v>
      </c>
      <c r="F2347" s="704">
        <v>100</v>
      </c>
      <c r="H2347">
        <f t="shared" si="134"/>
        <v>5652</v>
      </c>
      <c r="I2347" t="str">
        <f t="shared" si="135"/>
        <v>Rest of SA</v>
      </c>
    </row>
    <row r="2348" spans="1:9" x14ac:dyDescent="0.2">
      <c r="A2348" s="704">
        <v>5653</v>
      </c>
      <c r="B2348" s="704">
        <v>5653</v>
      </c>
      <c r="C2348" s="704" t="s">
        <v>572</v>
      </c>
      <c r="D2348" s="704" t="s">
        <v>523</v>
      </c>
      <c r="E2348" s="704">
        <v>1</v>
      </c>
      <c r="F2348" s="704">
        <v>100</v>
      </c>
      <c r="H2348">
        <f t="shared" si="134"/>
        <v>5653</v>
      </c>
      <c r="I2348" t="str">
        <f t="shared" si="135"/>
        <v>Rest of SA</v>
      </c>
    </row>
    <row r="2349" spans="1:9" x14ac:dyDescent="0.2">
      <c r="A2349" s="704">
        <v>5654</v>
      </c>
      <c r="B2349" s="704">
        <v>5654</v>
      </c>
      <c r="C2349" s="704" t="s">
        <v>572</v>
      </c>
      <c r="D2349" s="704" t="s">
        <v>523</v>
      </c>
      <c r="E2349" s="704">
        <v>1</v>
      </c>
      <c r="F2349" s="704">
        <v>100</v>
      </c>
      <c r="H2349">
        <f t="shared" si="134"/>
        <v>5654</v>
      </c>
      <c r="I2349" t="str">
        <f t="shared" si="135"/>
        <v>Rest of SA</v>
      </c>
    </row>
    <row r="2350" spans="1:9" x14ac:dyDescent="0.2">
      <c r="A2350" s="704">
        <v>5655</v>
      </c>
      <c r="B2350" s="704">
        <v>5655</v>
      </c>
      <c r="C2350" s="704" t="s">
        <v>572</v>
      </c>
      <c r="D2350" s="704" t="s">
        <v>523</v>
      </c>
      <c r="E2350" s="704">
        <v>1</v>
      </c>
      <c r="F2350" s="704">
        <v>100</v>
      </c>
      <c r="H2350">
        <f t="shared" si="134"/>
        <v>5655</v>
      </c>
      <c r="I2350" t="str">
        <f t="shared" si="135"/>
        <v>Rest of SA</v>
      </c>
    </row>
    <row r="2351" spans="1:9" x14ac:dyDescent="0.2">
      <c r="A2351" s="704">
        <v>5660</v>
      </c>
      <c r="B2351" s="704">
        <v>5660</v>
      </c>
      <c r="C2351" s="704" t="s">
        <v>572</v>
      </c>
      <c r="D2351" s="704" t="s">
        <v>523</v>
      </c>
      <c r="E2351" s="704">
        <v>1</v>
      </c>
      <c r="F2351" s="704">
        <v>100</v>
      </c>
      <c r="H2351">
        <f t="shared" si="134"/>
        <v>5660</v>
      </c>
      <c r="I2351" t="str">
        <f t="shared" si="135"/>
        <v>Rest of SA</v>
      </c>
    </row>
    <row r="2352" spans="1:9" x14ac:dyDescent="0.2">
      <c r="A2352" s="704">
        <v>5661</v>
      </c>
      <c r="B2352" s="704">
        <v>5661</v>
      </c>
      <c r="C2352" s="704" t="s">
        <v>572</v>
      </c>
      <c r="D2352" s="704" t="s">
        <v>523</v>
      </c>
      <c r="E2352" s="704">
        <v>1</v>
      </c>
      <c r="F2352" s="704">
        <v>100</v>
      </c>
      <c r="H2352">
        <f t="shared" si="134"/>
        <v>5661</v>
      </c>
      <c r="I2352" t="str">
        <f t="shared" si="135"/>
        <v>Rest of SA</v>
      </c>
    </row>
    <row r="2353" spans="1:9" x14ac:dyDescent="0.2">
      <c r="A2353" s="704">
        <v>5670</v>
      </c>
      <c r="B2353" s="704">
        <v>5670</v>
      </c>
      <c r="C2353" s="704" t="s">
        <v>572</v>
      </c>
      <c r="D2353" s="704" t="s">
        <v>523</v>
      </c>
      <c r="E2353" s="704">
        <v>0.999255</v>
      </c>
      <c r="F2353" s="704">
        <v>99.9255</v>
      </c>
      <c r="H2353">
        <f t="shared" si="134"/>
        <v>5670</v>
      </c>
      <c r="I2353" t="str">
        <f t="shared" si="135"/>
        <v>Rest of SA</v>
      </c>
    </row>
    <row r="2354" spans="1:9" x14ac:dyDescent="0.2">
      <c r="A2354" s="704">
        <v>5671</v>
      </c>
      <c r="B2354" s="704">
        <v>5671</v>
      </c>
      <c r="C2354" s="704" t="s">
        <v>572</v>
      </c>
      <c r="D2354" s="704" t="s">
        <v>523</v>
      </c>
      <c r="E2354" s="704">
        <v>0.99998900000000002</v>
      </c>
      <c r="F2354" s="704">
        <v>99.998900000000006</v>
      </c>
      <c r="H2354">
        <f t="shared" si="134"/>
        <v>5671</v>
      </c>
      <c r="I2354" t="str">
        <f t="shared" si="135"/>
        <v>Rest of SA</v>
      </c>
    </row>
    <row r="2355" spans="1:9" x14ac:dyDescent="0.2">
      <c r="A2355" s="704">
        <v>5680</v>
      </c>
      <c r="B2355" s="704">
        <v>5680</v>
      </c>
      <c r="C2355" s="704" t="s">
        <v>572</v>
      </c>
      <c r="D2355" s="704" t="s">
        <v>523</v>
      </c>
      <c r="E2355" s="704">
        <v>0.99672499999999997</v>
      </c>
      <c r="F2355" s="704">
        <v>99.672499999999999</v>
      </c>
      <c r="H2355">
        <f t="shared" si="134"/>
        <v>5680</v>
      </c>
      <c r="I2355" t="str">
        <f t="shared" si="135"/>
        <v>Rest of SA</v>
      </c>
    </row>
    <row r="2356" spans="1:9" x14ac:dyDescent="0.2">
      <c r="A2356" s="704">
        <v>5690</v>
      </c>
      <c r="B2356" s="704">
        <v>5690</v>
      </c>
      <c r="C2356" s="704" t="s">
        <v>572</v>
      </c>
      <c r="D2356" s="704" t="s">
        <v>523</v>
      </c>
      <c r="E2356" s="704">
        <v>0.994981</v>
      </c>
      <c r="F2356" s="704">
        <v>99.498099999999994</v>
      </c>
      <c r="H2356">
        <f t="shared" si="134"/>
        <v>5690</v>
      </c>
      <c r="I2356" t="str">
        <f t="shared" si="135"/>
        <v>Rest of SA</v>
      </c>
    </row>
    <row r="2357" spans="1:9" x14ac:dyDescent="0.2">
      <c r="A2357" s="704">
        <v>5700</v>
      </c>
      <c r="B2357" s="704">
        <v>5700</v>
      </c>
      <c r="C2357" s="704" t="s">
        <v>572</v>
      </c>
      <c r="D2357" s="704" t="s">
        <v>523</v>
      </c>
      <c r="E2357" s="704">
        <v>0.99951299999999998</v>
      </c>
      <c r="F2357" s="704">
        <v>99.951300000000003</v>
      </c>
      <c r="H2357">
        <f t="shared" si="134"/>
        <v>5700</v>
      </c>
      <c r="I2357" t="str">
        <f t="shared" si="135"/>
        <v>Rest of SA</v>
      </c>
    </row>
    <row r="2358" spans="1:9" x14ac:dyDescent="0.2">
      <c r="A2358" s="704">
        <v>5710</v>
      </c>
      <c r="B2358" s="704">
        <v>5710</v>
      </c>
      <c r="C2358" s="704" t="s">
        <v>572</v>
      </c>
      <c r="D2358" s="704" t="s">
        <v>523</v>
      </c>
      <c r="E2358" s="704">
        <v>0.99370000000000003</v>
      </c>
      <c r="F2358" s="704">
        <v>99.37</v>
      </c>
      <c r="H2358">
        <f t="shared" si="134"/>
        <v>5710</v>
      </c>
      <c r="I2358" t="str">
        <f t="shared" si="135"/>
        <v>Rest of SA</v>
      </c>
    </row>
    <row r="2359" spans="1:9" x14ac:dyDescent="0.2">
      <c r="A2359" s="704">
        <v>5720</v>
      </c>
      <c r="B2359" s="704">
        <v>5720</v>
      </c>
      <c r="C2359" s="704" t="s">
        <v>572</v>
      </c>
      <c r="D2359" s="704" t="s">
        <v>523</v>
      </c>
      <c r="E2359" s="704">
        <v>1</v>
      </c>
      <c r="F2359" s="704">
        <v>100</v>
      </c>
      <c r="H2359">
        <f t="shared" si="134"/>
        <v>5720</v>
      </c>
      <c r="I2359" t="str">
        <f t="shared" si="135"/>
        <v>Rest of SA</v>
      </c>
    </row>
    <row r="2360" spans="1:9" x14ac:dyDescent="0.2">
      <c r="A2360" s="704">
        <v>5722</v>
      </c>
      <c r="B2360" s="704">
        <v>5722</v>
      </c>
      <c r="C2360" s="704" t="s">
        <v>572</v>
      </c>
      <c r="D2360" s="704" t="s">
        <v>523</v>
      </c>
      <c r="E2360" s="704">
        <v>1</v>
      </c>
      <c r="F2360" s="704">
        <v>100</v>
      </c>
      <c r="H2360">
        <f t="shared" si="134"/>
        <v>5722</v>
      </c>
      <c r="I2360" t="str">
        <f t="shared" si="135"/>
        <v>Rest of SA</v>
      </c>
    </row>
    <row r="2361" spans="1:9" x14ac:dyDescent="0.2">
      <c r="A2361" s="704">
        <v>5723</v>
      </c>
      <c r="B2361" s="704">
        <v>5723</v>
      </c>
      <c r="C2361" s="704" t="s">
        <v>572</v>
      </c>
      <c r="D2361" s="704" t="s">
        <v>523</v>
      </c>
      <c r="E2361" s="704">
        <v>1</v>
      </c>
      <c r="F2361" s="704">
        <v>100</v>
      </c>
      <c r="H2361">
        <f t="shared" ref="H2361:H2424" si="136">A2361*1</f>
        <v>5723</v>
      </c>
      <c r="I2361" t="str">
        <f t="shared" ref="I2361:I2424" si="137">D2361</f>
        <v>Rest of SA</v>
      </c>
    </row>
    <row r="2362" spans="1:9" x14ac:dyDescent="0.2">
      <c r="A2362" s="704">
        <v>5724</v>
      </c>
      <c r="B2362" s="704">
        <v>5724</v>
      </c>
      <c r="C2362" s="704" t="s">
        <v>572</v>
      </c>
      <c r="D2362" s="704" t="s">
        <v>523</v>
      </c>
      <c r="E2362" s="704">
        <v>1</v>
      </c>
      <c r="F2362" s="704">
        <v>100</v>
      </c>
      <c r="H2362">
        <f t="shared" si="136"/>
        <v>5724</v>
      </c>
      <c r="I2362" t="str">
        <f t="shared" si="137"/>
        <v>Rest of SA</v>
      </c>
    </row>
    <row r="2363" spans="1:9" x14ac:dyDescent="0.2">
      <c r="A2363" s="704">
        <v>5725</v>
      </c>
      <c r="B2363" s="704">
        <v>5725</v>
      </c>
      <c r="C2363" s="704" t="s">
        <v>572</v>
      </c>
      <c r="D2363" s="704" t="s">
        <v>523</v>
      </c>
      <c r="E2363" s="704">
        <v>1</v>
      </c>
      <c r="F2363" s="704">
        <v>100</v>
      </c>
      <c r="H2363">
        <f t="shared" si="136"/>
        <v>5725</v>
      </c>
      <c r="I2363" t="str">
        <f t="shared" si="137"/>
        <v>Rest of SA</v>
      </c>
    </row>
    <row r="2364" spans="1:9" x14ac:dyDescent="0.2">
      <c r="A2364" s="704">
        <v>5730</v>
      </c>
      <c r="B2364" s="704">
        <v>5730</v>
      </c>
      <c r="C2364" s="704" t="s">
        <v>572</v>
      </c>
      <c r="D2364" s="704" t="s">
        <v>523</v>
      </c>
      <c r="E2364" s="704">
        <v>1</v>
      </c>
      <c r="F2364" s="704">
        <v>100</v>
      </c>
      <c r="H2364">
        <f t="shared" si="136"/>
        <v>5730</v>
      </c>
      <c r="I2364" t="str">
        <f t="shared" si="137"/>
        <v>Rest of SA</v>
      </c>
    </row>
    <row r="2365" spans="1:9" x14ac:dyDescent="0.2">
      <c r="A2365" s="704">
        <v>5731</v>
      </c>
      <c r="B2365" s="704">
        <v>5731</v>
      </c>
      <c r="C2365" s="704" t="s">
        <v>572</v>
      </c>
      <c r="D2365" s="704" t="s">
        <v>523</v>
      </c>
      <c r="E2365" s="704">
        <v>1</v>
      </c>
      <c r="F2365" s="704">
        <v>100</v>
      </c>
      <c r="H2365">
        <f t="shared" si="136"/>
        <v>5731</v>
      </c>
      <c r="I2365" t="str">
        <f t="shared" si="137"/>
        <v>Rest of SA</v>
      </c>
    </row>
    <row r="2366" spans="1:9" x14ac:dyDescent="0.2">
      <c r="A2366" s="704">
        <v>5732</v>
      </c>
      <c r="B2366" s="704">
        <v>5732</v>
      </c>
      <c r="C2366" s="704" t="s">
        <v>572</v>
      </c>
      <c r="D2366" s="704" t="s">
        <v>523</v>
      </c>
      <c r="E2366" s="704">
        <v>1</v>
      </c>
      <c r="F2366" s="704">
        <v>100</v>
      </c>
      <c r="H2366">
        <f t="shared" si="136"/>
        <v>5732</v>
      </c>
      <c r="I2366" t="str">
        <f t="shared" si="137"/>
        <v>Rest of SA</v>
      </c>
    </row>
    <row r="2367" spans="1:9" x14ac:dyDescent="0.2">
      <c r="A2367" s="704">
        <v>5733</v>
      </c>
      <c r="B2367" s="704">
        <v>5733</v>
      </c>
      <c r="C2367" s="704" t="s">
        <v>572</v>
      </c>
      <c r="D2367" s="704" t="s">
        <v>523</v>
      </c>
      <c r="E2367" s="704">
        <v>1</v>
      </c>
      <c r="F2367" s="704">
        <v>100</v>
      </c>
      <c r="H2367">
        <f t="shared" si="136"/>
        <v>5733</v>
      </c>
      <c r="I2367" t="str">
        <f t="shared" si="137"/>
        <v>Rest of SA</v>
      </c>
    </row>
    <row r="2368" spans="1:9" x14ac:dyDescent="0.2">
      <c r="A2368" s="704">
        <v>5734</v>
      </c>
      <c r="B2368" s="704">
        <v>5734</v>
      </c>
      <c r="C2368" s="704" t="s">
        <v>572</v>
      </c>
      <c r="D2368" s="704" t="s">
        <v>523</v>
      </c>
      <c r="E2368" s="704">
        <v>1</v>
      </c>
      <c r="F2368" s="704">
        <v>100</v>
      </c>
      <c r="H2368">
        <f t="shared" si="136"/>
        <v>5734</v>
      </c>
      <c r="I2368" t="str">
        <f t="shared" si="137"/>
        <v>Rest of SA</v>
      </c>
    </row>
    <row r="2369" spans="1:9" x14ac:dyDescent="0.2">
      <c r="A2369" s="704">
        <v>5950</v>
      </c>
      <c r="B2369" s="704">
        <v>5950</v>
      </c>
      <c r="C2369" s="704" t="s">
        <v>585</v>
      </c>
      <c r="D2369" s="704" t="s">
        <v>550</v>
      </c>
      <c r="E2369" s="704">
        <v>1</v>
      </c>
      <c r="F2369" s="704">
        <v>100</v>
      </c>
      <c r="H2369">
        <f t="shared" si="136"/>
        <v>5950</v>
      </c>
      <c r="I2369" t="str">
        <f t="shared" si="137"/>
        <v>Greater Adelaide</v>
      </c>
    </row>
    <row r="2370" spans="1:9" x14ac:dyDescent="0.2">
      <c r="A2370" s="704">
        <v>6000</v>
      </c>
      <c r="B2370" s="704">
        <v>6000</v>
      </c>
      <c r="C2370" s="704" t="s">
        <v>586</v>
      </c>
      <c r="D2370" s="704" t="s">
        <v>552</v>
      </c>
      <c r="E2370" s="704">
        <v>0.99847399999999997</v>
      </c>
      <c r="F2370" s="704">
        <v>99.847399999999993</v>
      </c>
      <c r="H2370">
        <f t="shared" si="136"/>
        <v>6000</v>
      </c>
      <c r="I2370" t="str">
        <f t="shared" si="137"/>
        <v>Greater Perth</v>
      </c>
    </row>
    <row r="2371" spans="1:9" x14ac:dyDescent="0.2">
      <c r="A2371" s="704">
        <v>6003</v>
      </c>
      <c r="B2371" s="704">
        <v>6003</v>
      </c>
      <c r="C2371" s="704" t="s">
        <v>586</v>
      </c>
      <c r="D2371" s="704" t="s">
        <v>552</v>
      </c>
      <c r="E2371" s="704">
        <v>1</v>
      </c>
      <c r="F2371" s="704">
        <v>100</v>
      </c>
      <c r="H2371">
        <f t="shared" si="136"/>
        <v>6003</v>
      </c>
      <c r="I2371" t="str">
        <f t="shared" si="137"/>
        <v>Greater Perth</v>
      </c>
    </row>
    <row r="2372" spans="1:9" x14ac:dyDescent="0.2">
      <c r="A2372" s="704">
        <v>6004</v>
      </c>
      <c r="B2372" s="704">
        <v>6004</v>
      </c>
      <c r="C2372" s="704" t="s">
        <v>586</v>
      </c>
      <c r="D2372" s="704" t="s">
        <v>552</v>
      </c>
      <c r="E2372" s="704">
        <v>1</v>
      </c>
      <c r="F2372" s="704">
        <v>100</v>
      </c>
      <c r="H2372">
        <f t="shared" si="136"/>
        <v>6004</v>
      </c>
      <c r="I2372" t="str">
        <f t="shared" si="137"/>
        <v>Greater Perth</v>
      </c>
    </row>
    <row r="2373" spans="1:9" x14ac:dyDescent="0.2">
      <c r="A2373" s="704">
        <v>6005</v>
      </c>
      <c r="B2373" s="704">
        <v>6005</v>
      </c>
      <c r="C2373" s="704" t="s">
        <v>586</v>
      </c>
      <c r="D2373" s="704" t="s">
        <v>552</v>
      </c>
      <c r="E2373" s="704">
        <v>1</v>
      </c>
      <c r="F2373" s="704">
        <v>100</v>
      </c>
      <c r="H2373">
        <f t="shared" si="136"/>
        <v>6005</v>
      </c>
      <c r="I2373" t="str">
        <f t="shared" si="137"/>
        <v>Greater Perth</v>
      </c>
    </row>
    <row r="2374" spans="1:9" x14ac:dyDescent="0.2">
      <c r="A2374" s="704">
        <v>6006</v>
      </c>
      <c r="B2374" s="704">
        <v>6006</v>
      </c>
      <c r="C2374" s="704" t="s">
        <v>586</v>
      </c>
      <c r="D2374" s="704" t="s">
        <v>552</v>
      </c>
      <c r="E2374" s="704">
        <v>1</v>
      </c>
      <c r="F2374" s="704">
        <v>100</v>
      </c>
      <c r="H2374">
        <f t="shared" si="136"/>
        <v>6006</v>
      </c>
      <c r="I2374" t="str">
        <f t="shared" si="137"/>
        <v>Greater Perth</v>
      </c>
    </row>
    <row r="2375" spans="1:9" x14ac:dyDescent="0.2">
      <c r="A2375" s="704">
        <v>6007</v>
      </c>
      <c r="B2375" s="704">
        <v>6007</v>
      </c>
      <c r="C2375" s="704" t="s">
        <v>586</v>
      </c>
      <c r="D2375" s="704" t="s">
        <v>552</v>
      </c>
      <c r="E2375" s="704">
        <v>1</v>
      </c>
      <c r="F2375" s="704">
        <v>100</v>
      </c>
      <c r="H2375">
        <f t="shared" si="136"/>
        <v>6007</v>
      </c>
      <c r="I2375" t="str">
        <f t="shared" si="137"/>
        <v>Greater Perth</v>
      </c>
    </row>
    <row r="2376" spans="1:9" x14ac:dyDescent="0.2">
      <c r="A2376" s="704">
        <v>6008</v>
      </c>
      <c r="B2376" s="704">
        <v>6008</v>
      </c>
      <c r="C2376" s="704" t="s">
        <v>586</v>
      </c>
      <c r="D2376" s="704" t="s">
        <v>552</v>
      </c>
      <c r="E2376" s="704">
        <v>1</v>
      </c>
      <c r="F2376" s="704">
        <v>100</v>
      </c>
      <c r="H2376">
        <f t="shared" si="136"/>
        <v>6008</v>
      </c>
      <c r="I2376" t="str">
        <f t="shared" si="137"/>
        <v>Greater Perth</v>
      </c>
    </row>
    <row r="2377" spans="1:9" x14ac:dyDescent="0.2">
      <c r="A2377" s="704">
        <v>6009</v>
      </c>
      <c r="B2377" s="704">
        <v>6009</v>
      </c>
      <c r="C2377" s="704" t="s">
        <v>586</v>
      </c>
      <c r="D2377" s="704" t="s">
        <v>552</v>
      </c>
      <c r="E2377" s="704">
        <v>0.99996399999999996</v>
      </c>
      <c r="F2377" s="704">
        <v>99.996399999999994</v>
      </c>
      <c r="H2377">
        <f t="shared" si="136"/>
        <v>6009</v>
      </c>
      <c r="I2377" t="str">
        <f t="shared" si="137"/>
        <v>Greater Perth</v>
      </c>
    </row>
    <row r="2378" spans="1:9" x14ac:dyDescent="0.2">
      <c r="A2378" s="704">
        <v>6010</v>
      </c>
      <c r="B2378" s="704">
        <v>6010</v>
      </c>
      <c r="C2378" s="704" t="s">
        <v>586</v>
      </c>
      <c r="D2378" s="704" t="s">
        <v>552</v>
      </c>
      <c r="E2378" s="704">
        <v>1</v>
      </c>
      <c r="F2378" s="704">
        <v>100</v>
      </c>
      <c r="H2378">
        <f t="shared" si="136"/>
        <v>6010</v>
      </c>
      <c r="I2378" t="str">
        <f t="shared" si="137"/>
        <v>Greater Perth</v>
      </c>
    </row>
    <row r="2379" spans="1:9" x14ac:dyDescent="0.2">
      <c r="A2379" s="704">
        <v>6011</v>
      </c>
      <c r="B2379" s="704">
        <v>6011</v>
      </c>
      <c r="C2379" s="704" t="s">
        <v>586</v>
      </c>
      <c r="D2379" s="704" t="s">
        <v>552</v>
      </c>
      <c r="E2379" s="704">
        <v>1</v>
      </c>
      <c r="F2379" s="704">
        <v>100</v>
      </c>
      <c r="H2379">
        <f t="shared" si="136"/>
        <v>6011</v>
      </c>
      <c r="I2379" t="str">
        <f t="shared" si="137"/>
        <v>Greater Perth</v>
      </c>
    </row>
    <row r="2380" spans="1:9" x14ac:dyDescent="0.2">
      <c r="A2380" s="704">
        <v>6012</v>
      </c>
      <c r="B2380" s="704">
        <v>6012</v>
      </c>
      <c r="C2380" s="704" t="s">
        <v>586</v>
      </c>
      <c r="D2380" s="704" t="s">
        <v>552</v>
      </c>
      <c r="E2380" s="704">
        <v>1</v>
      </c>
      <c r="F2380" s="704">
        <v>100</v>
      </c>
      <c r="H2380">
        <f t="shared" si="136"/>
        <v>6012</v>
      </c>
      <c r="I2380" t="str">
        <f t="shared" si="137"/>
        <v>Greater Perth</v>
      </c>
    </row>
    <row r="2381" spans="1:9" x14ac:dyDescent="0.2">
      <c r="A2381" s="704">
        <v>6014</v>
      </c>
      <c r="B2381" s="704">
        <v>6014</v>
      </c>
      <c r="C2381" s="704" t="s">
        <v>586</v>
      </c>
      <c r="D2381" s="704" t="s">
        <v>552</v>
      </c>
      <c r="E2381" s="704">
        <v>1</v>
      </c>
      <c r="F2381" s="704">
        <v>100</v>
      </c>
      <c r="H2381">
        <f t="shared" si="136"/>
        <v>6014</v>
      </c>
      <c r="I2381" t="str">
        <f t="shared" si="137"/>
        <v>Greater Perth</v>
      </c>
    </row>
    <row r="2382" spans="1:9" x14ac:dyDescent="0.2">
      <c r="A2382" s="704">
        <v>6015</v>
      </c>
      <c r="B2382" s="704">
        <v>6015</v>
      </c>
      <c r="C2382" s="704" t="s">
        <v>586</v>
      </c>
      <c r="D2382" s="704" t="s">
        <v>552</v>
      </c>
      <c r="E2382" s="704">
        <v>1</v>
      </c>
      <c r="F2382" s="704">
        <v>100</v>
      </c>
      <c r="H2382">
        <f t="shared" si="136"/>
        <v>6015</v>
      </c>
      <c r="I2382" t="str">
        <f t="shared" si="137"/>
        <v>Greater Perth</v>
      </c>
    </row>
    <row r="2383" spans="1:9" x14ac:dyDescent="0.2">
      <c r="A2383" s="704">
        <v>6016</v>
      </c>
      <c r="B2383" s="704">
        <v>6016</v>
      </c>
      <c r="C2383" s="704" t="s">
        <v>586</v>
      </c>
      <c r="D2383" s="704" t="s">
        <v>552</v>
      </c>
      <c r="E2383" s="704">
        <v>1</v>
      </c>
      <c r="F2383" s="704">
        <v>100</v>
      </c>
      <c r="H2383">
        <f t="shared" si="136"/>
        <v>6016</v>
      </c>
      <c r="I2383" t="str">
        <f t="shared" si="137"/>
        <v>Greater Perth</v>
      </c>
    </row>
    <row r="2384" spans="1:9" x14ac:dyDescent="0.2">
      <c r="A2384" s="704">
        <v>6017</v>
      </c>
      <c r="B2384" s="704">
        <v>6017</v>
      </c>
      <c r="C2384" s="704" t="s">
        <v>586</v>
      </c>
      <c r="D2384" s="704" t="s">
        <v>552</v>
      </c>
      <c r="E2384" s="704">
        <v>1</v>
      </c>
      <c r="F2384" s="704">
        <v>100</v>
      </c>
      <c r="H2384">
        <f t="shared" si="136"/>
        <v>6017</v>
      </c>
      <c r="I2384" t="str">
        <f t="shared" si="137"/>
        <v>Greater Perth</v>
      </c>
    </row>
    <row r="2385" spans="1:9" x14ac:dyDescent="0.2">
      <c r="A2385" s="704">
        <v>6018</v>
      </c>
      <c r="B2385" s="704">
        <v>6018</v>
      </c>
      <c r="C2385" s="704" t="s">
        <v>586</v>
      </c>
      <c r="D2385" s="704" t="s">
        <v>552</v>
      </c>
      <c r="E2385" s="704">
        <v>1</v>
      </c>
      <c r="F2385" s="704">
        <v>100</v>
      </c>
      <c r="H2385">
        <f t="shared" si="136"/>
        <v>6018</v>
      </c>
      <c r="I2385" t="str">
        <f t="shared" si="137"/>
        <v>Greater Perth</v>
      </c>
    </row>
    <row r="2386" spans="1:9" x14ac:dyDescent="0.2">
      <c r="A2386" s="704">
        <v>6019</v>
      </c>
      <c r="B2386" s="704">
        <v>6019</v>
      </c>
      <c r="C2386" s="704" t="s">
        <v>586</v>
      </c>
      <c r="D2386" s="704" t="s">
        <v>552</v>
      </c>
      <c r="E2386" s="704">
        <v>1</v>
      </c>
      <c r="F2386" s="704">
        <v>100</v>
      </c>
      <c r="H2386">
        <f t="shared" si="136"/>
        <v>6019</v>
      </c>
      <c r="I2386" t="str">
        <f t="shared" si="137"/>
        <v>Greater Perth</v>
      </c>
    </row>
    <row r="2387" spans="1:9" x14ac:dyDescent="0.2">
      <c r="A2387" s="704">
        <v>6020</v>
      </c>
      <c r="B2387" s="704">
        <v>6020</v>
      </c>
      <c r="C2387" s="704" t="s">
        <v>586</v>
      </c>
      <c r="D2387" s="704" t="s">
        <v>552</v>
      </c>
      <c r="E2387" s="704">
        <v>1</v>
      </c>
      <c r="F2387" s="704">
        <v>100</v>
      </c>
      <c r="H2387">
        <f t="shared" si="136"/>
        <v>6020</v>
      </c>
      <c r="I2387" t="str">
        <f t="shared" si="137"/>
        <v>Greater Perth</v>
      </c>
    </row>
    <row r="2388" spans="1:9" x14ac:dyDescent="0.2">
      <c r="A2388" s="704">
        <v>6021</v>
      </c>
      <c r="B2388" s="704">
        <v>6021</v>
      </c>
      <c r="C2388" s="704" t="s">
        <v>586</v>
      </c>
      <c r="D2388" s="704" t="s">
        <v>552</v>
      </c>
      <c r="E2388" s="704">
        <v>1</v>
      </c>
      <c r="F2388" s="704">
        <v>100</v>
      </c>
      <c r="H2388">
        <f t="shared" si="136"/>
        <v>6021</v>
      </c>
      <c r="I2388" t="str">
        <f t="shared" si="137"/>
        <v>Greater Perth</v>
      </c>
    </row>
    <row r="2389" spans="1:9" x14ac:dyDescent="0.2">
      <c r="A2389" s="704">
        <v>6022</v>
      </c>
      <c r="B2389" s="704">
        <v>6022</v>
      </c>
      <c r="C2389" s="704" t="s">
        <v>586</v>
      </c>
      <c r="D2389" s="704" t="s">
        <v>552</v>
      </c>
      <c r="E2389" s="704">
        <v>1</v>
      </c>
      <c r="F2389" s="704">
        <v>100</v>
      </c>
      <c r="H2389">
        <f t="shared" si="136"/>
        <v>6022</v>
      </c>
      <c r="I2389" t="str">
        <f t="shared" si="137"/>
        <v>Greater Perth</v>
      </c>
    </row>
    <row r="2390" spans="1:9" x14ac:dyDescent="0.2">
      <c r="A2390" s="704">
        <v>6023</v>
      </c>
      <c r="B2390" s="704">
        <v>6023</v>
      </c>
      <c r="C2390" s="704" t="s">
        <v>586</v>
      </c>
      <c r="D2390" s="704" t="s">
        <v>552</v>
      </c>
      <c r="E2390" s="704">
        <v>1</v>
      </c>
      <c r="F2390" s="704">
        <v>100</v>
      </c>
      <c r="H2390">
        <f t="shared" si="136"/>
        <v>6023</v>
      </c>
      <c r="I2390" t="str">
        <f t="shared" si="137"/>
        <v>Greater Perth</v>
      </c>
    </row>
    <row r="2391" spans="1:9" x14ac:dyDescent="0.2">
      <c r="A2391" s="704">
        <v>6024</v>
      </c>
      <c r="B2391" s="704">
        <v>6024</v>
      </c>
      <c r="C2391" s="704" t="s">
        <v>586</v>
      </c>
      <c r="D2391" s="704" t="s">
        <v>552</v>
      </c>
      <c r="E2391" s="704">
        <v>1</v>
      </c>
      <c r="F2391" s="704">
        <v>100</v>
      </c>
      <c r="H2391">
        <f t="shared" si="136"/>
        <v>6024</v>
      </c>
      <c r="I2391" t="str">
        <f t="shared" si="137"/>
        <v>Greater Perth</v>
      </c>
    </row>
    <row r="2392" spans="1:9" x14ac:dyDescent="0.2">
      <c r="A2392" s="704">
        <v>6025</v>
      </c>
      <c r="B2392" s="704">
        <v>6025</v>
      </c>
      <c r="C2392" s="704" t="s">
        <v>586</v>
      </c>
      <c r="D2392" s="704" t="s">
        <v>552</v>
      </c>
      <c r="E2392" s="704">
        <v>1</v>
      </c>
      <c r="F2392" s="704">
        <v>100</v>
      </c>
      <c r="H2392">
        <f t="shared" si="136"/>
        <v>6025</v>
      </c>
      <c r="I2392" t="str">
        <f t="shared" si="137"/>
        <v>Greater Perth</v>
      </c>
    </row>
    <row r="2393" spans="1:9" x14ac:dyDescent="0.2">
      <c r="A2393" s="704">
        <v>6026</v>
      </c>
      <c r="B2393" s="704">
        <v>6026</v>
      </c>
      <c r="C2393" s="704" t="s">
        <v>586</v>
      </c>
      <c r="D2393" s="704" t="s">
        <v>552</v>
      </c>
      <c r="E2393" s="704">
        <v>1</v>
      </c>
      <c r="F2393" s="704">
        <v>100</v>
      </c>
      <c r="H2393">
        <f t="shared" si="136"/>
        <v>6026</v>
      </c>
      <c r="I2393" t="str">
        <f t="shared" si="137"/>
        <v>Greater Perth</v>
      </c>
    </row>
    <row r="2394" spans="1:9" x14ac:dyDescent="0.2">
      <c r="A2394" s="704">
        <v>6027</v>
      </c>
      <c r="B2394" s="704">
        <v>6027</v>
      </c>
      <c r="C2394" s="704" t="s">
        <v>586</v>
      </c>
      <c r="D2394" s="704" t="s">
        <v>552</v>
      </c>
      <c r="E2394" s="704">
        <v>1</v>
      </c>
      <c r="F2394" s="704">
        <v>100</v>
      </c>
      <c r="H2394">
        <f t="shared" si="136"/>
        <v>6027</v>
      </c>
      <c r="I2394" t="str">
        <f t="shared" si="137"/>
        <v>Greater Perth</v>
      </c>
    </row>
    <row r="2395" spans="1:9" x14ac:dyDescent="0.2">
      <c r="A2395" s="704">
        <v>6028</v>
      </c>
      <c r="B2395" s="704">
        <v>6028</v>
      </c>
      <c r="C2395" s="704" t="s">
        <v>586</v>
      </c>
      <c r="D2395" s="704" t="s">
        <v>552</v>
      </c>
      <c r="E2395" s="704">
        <v>1</v>
      </c>
      <c r="F2395" s="704">
        <v>100</v>
      </c>
      <c r="H2395">
        <f t="shared" si="136"/>
        <v>6028</v>
      </c>
      <c r="I2395" t="str">
        <f t="shared" si="137"/>
        <v>Greater Perth</v>
      </c>
    </row>
    <row r="2396" spans="1:9" x14ac:dyDescent="0.2">
      <c r="A2396" s="704">
        <v>6029</v>
      </c>
      <c r="B2396" s="704">
        <v>6029</v>
      </c>
      <c r="C2396" s="704" t="s">
        <v>586</v>
      </c>
      <c r="D2396" s="704" t="s">
        <v>552</v>
      </c>
      <c r="E2396" s="704">
        <v>1</v>
      </c>
      <c r="F2396" s="704">
        <v>100</v>
      </c>
      <c r="H2396">
        <f t="shared" si="136"/>
        <v>6029</v>
      </c>
      <c r="I2396" t="str">
        <f t="shared" si="137"/>
        <v>Greater Perth</v>
      </c>
    </row>
    <row r="2397" spans="1:9" x14ac:dyDescent="0.2">
      <c r="A2397" s="704">
        <v>6030</v>
      </c>
      <c r="B2397" s="704">
        <v>6030</v>
      </c>
      <c r="C2397" s="704" t="s">
        <v>586</v>
      </c>
      <c r="D2397" s="704" t="s">
        <v>552</v>
      </c>
      <c r="E2397" s="704">
        <v>0.99972499999999997</v>
      </c>
      <c r="F2397" s="704">
        <v>99.972499999999997</v>
      </c>
      <c r="H2397">
        <f t="shared" si="136"/>
        <v>6030</v>
      </c>
      <c r="I2397" t="str">
        <f t="shared" si="137"/>
        <v>Greater Perth</v>
      </c>
    </row>
    <row r="2398" spans="1:9" x14ac:dyDescent="0.2">
      <c r="A2398" s="704">
        <v>6031</v>
      </c>
      <c r="B2398" s="704">
        <v>6031</v>
      </c>
      <c r="C2398" s="704" t="s">
        <v>586</v>
      </c>
      <c r="D2398" s="704" t="s">
        <v>552</v>
      </c>
      <c r="E2398" s="704">
        <v>1</v>
      </c>
      <c r="F2398" s="704">
        <v>100</v>
      </c>
      <c r="H2398">
        <f t="shared" si="136"/>
        <v>6031</v>
      </c>
      <c r="I2398" t="str">
        <f t="shared" si="137"/>
        <v>Greater Perth</v>
      </c>
    </row>
    <row r="2399" spans="1:9" x14ac:dyDescent="0.2">
      <c r="A2399" s="704">
        <v>6032</v>
      </c>
      <c r="B2399" s="704">
        <v>6032</v>
      </c>
      <c r="C2399" s="704" t="s">
        <v>586</v>
      </c>
      <c r="D2399" s="704" t="s">
        <v>552</v>
      </c>
      <c r="E2399" s="704">
        <v>1</v>
      </c>
      <c r="F2399" s="704">
        <v>100</v>
      </c>
      <c r="H2399">
        <f t="shared" si="136"/>
        <v>6032</v>
      </c>
      <c r="I2399" t="str">
        <f t="shared" si="137"/>
        <v>Greater Perth</v>
      </c>
    </row>
    <row r="2400" spans="1:9" x14ac:dyDescent="0.2">
      <c r="A2400" s="704">
        <v>6033</v>
      </c>
      <c r="B2400" s="704">
        <v>6033</v>
      </c>
      <c r="C2400" s="704" t="s">
        <v>586</v>
      </c>
      <c r="D2400" s="704" t="s">
        <v>552</v>
      </c>
      <c r="E2400" s="704">
        <v>1</v>
      </c>
      <c r="F2400" s="704">
        <v>100</v>
      </c>
      <c r="H2400">
        <f t="shared" si="136"/>
        <v>6033</v>
      </c>
      <c r="I2400" t="str">
        <f t="shared" si="137"/>
        <v>Greater Perth</v>
      </c>
    </row>
    <row r="2401" spans="1:9" x14ac:dyDescent="0.2">
      <c r="A2401" s="704">
        <v>6034</v>
      </c>
      <c r="B2401" s="704">
        <v>6034</v>
      </c>
      <c r="C2401" s="704" t="s">
        <v>586</v>
      </c>
      <c r="D2401" s="704" t="s">
        <v>552</v>
      </c>
      <c r="E2401" s="704">
        <v>1</v>
      </c>
      <c r="F2401" s="704">
        <v>100</v>
      </c>
      <c r="H2401">
        <f t="shared" si="136"/>
        <v>6034</v>
      </c>
      <c r="I2401" t="str">
        <f t="shared" si="137"/>
        <v>Greater Perth</v>
      </c>
    </row>
    <row r="2402" spans="1:9" x14ac:dyDescent="0.2">
      <c r="A2402" s="704">
        <v>6035</v>
      </c>
      <c r="B2402" s="704">
        <v>6035</v>
      </c>
      <c r="C2402" s="704" t="s">
        <v>586</v>
      </c>
      <c r="D2402" s="704" t="s">
        <v>552</v>
      </c>
      <c r="E2402" s="704">
        <v>1</v>
      </c>
      <c r="F2402" s="704">
        <v>100</v>
      </c>
      <c r="H2402">
        <f t="shared" si="136"/>
        <v>6035</v>
      </c>
      <c r="I2402" t="str">
        <f t="shared" si="137"/>
        <v>Greater Perth</v>
      </c>
    </row>
    <row r="2403" spans="1:9" x14ac:dyDescent="0.2">
      <c r="A2403" s="704">
        <v>6036</v>
      </c>
      <c r="B2403" s="704">
        <v>6036</v>
      </c>
      <c r="C2403" s="704" t="s">
        <v>586</v>
      </c>
      <c r="D2403" s="704" t="s">
        <v>552</v>
      </c>
      <c r="E2403" s="704">
        <v>1</v>
      </c>
      <c r="F2403" s="704">
        <v>100</v>
      </c>
      <c r="H2403">
        <f t="shared" si="136"/>
        <v>6036</v>
      </c>
      <c r="I2403" t="str">
        <f t="shared" si="137"/>
        <v>Greater Perth</v>
      </c>
    </row>
    <row r="2404" spans="1:9" x14ac:dyDescent="0.2">
      <c r="A2404" s="704">
        <v>6037</v>
      </c>
      <c r="B2404" s="704">
        <v>6037</v>
      </c>
      <c r="C2404" s="704" t="s">
        <v>586</v>
      </c>
      <c r="D2404" s="704" t="s">
        <v>552</v>
      </c>
      <c r="E2404" s="704">
        <v>1</v>
      </c>
      <c r="F2404" s="704">
        <v>100</v>
      </c>
      <c r="H2404">
        <f t="shared" si="136"/>
        <v>6037</v>
      </c>
      <c r="I2404" t="str">
        <f t="shared" si="137"/>
        <v>Greater Perth</v>
      </c>
    </row>
    <row r="2405" spans="1:9" x14ac:dyDescent="0.2">
      <c r="A2405" s="704">
        <v>6038</v>
      </c>
      <c r="B2405" s="704">
        <v>6038</v>
      </c>
      <c r="C2405" s="704" t="s">
        <v>586</v>
      </c>
      <c r="D2405" s="704" t="s">
        <v>552</v>
      </c>
      <c r="E2405" s="704">
        <v>0.99999899999999997</v>
      </c>
      <c r="F2405" s="704">
        <v>99.999899999999997</v>
      </c>
      <c r="H2405">
        <f t="shared" si="136"/>
        <v>6038</v>
      </c>
      <c r="I2405" t="str">
        <f t="shared" si="137"/>
        <v>Greater Perth</v>
      </c>
    </row>
    <row r="2406" spans="1:9" x14ac:dyDescent="0.2">
      <c r="A2406" s="704">
        <v>6041</v>
      </c>
      <c r="B2406" s="704">
        <v>6041</v>
      </c>
      <c r="C2406" s="704" t="s">
        <v>565</v>
      </c>
      <c r="D2406" s="704" t="s">
        <v>521</v>
      </c>
      <c r="E2406" s="704">
        <v>1</v>
      </c>
      <c r="F2406" s="704">
        <v>100</v>
      </c>
      <c r="H2406">
        <f t="shared" si="136"/>
        <v>6041</v>
      </c>
      <c r="I2406" t="str">
        <f t="shared" si="137"/>
        <v>Rest of WA</v>
      </c>
    </row>
    <row r="2407" spans="1:9" x14ac:dyDescent="0.2">
      <c r="A2407" s="704">
        <v>6042</v>
      </c>
      <c r="B2407" s="704">
        <v>6042</v>
      </c>
      <c r="C2407" s="704" t="s">
        <v>565</v>
      </c>
      <c r="D2407" s="704" t="s">
        <v>521</v>
      </c>
      <c r="E2407" s="704">
        <v>1</v>
      </c>
      <c r="F2407" s="704">
        <v>100</v>
      </c>
      <c r="H2407">
        <f t="shared" si="136"/>
        <v>6042</v>
      </c>
      <c r="I2407" t="str">
        <f t="shared" si="137"/>
        <v>Rest of WA</v>
      </c>
    </row>
    <row r="2408" spans="1:9" x14ac:dyDescent="0.2">
      <c r="A2408" s="704">
        <v>6043</v>
      </c>
      <c r="B2408" s="704">
        <v>6043</v>
      </c>
      <c r="C2408" s="704" t="s">
        <v>565</v>
      </c>
      <c r="D2408" s="704" t="s">
        <v>521</v>
      </c>
      <c r="E2408" s="704">
        <v>0.99999800000000005</v>
      </c>
      <c r="F2408" s="704">
        <v>99.999799999999993</v>
      </c>
      <c r="H2408">
        <f t="shared" si="136"/>
        <v>6043</v>
      </c>
      <c r="I2408" t="str">
        <f t="shared" si="137"/>
        <v>Rest of WA</v>
      </c>
    </row>
    <row r="2409" spans="1:9" x14ac:dyDescent="0.2">
      <c r="A2409" s="704">
        <v>6044</v>
      </c>
      <c r="B2409" s="704">
        <v>6044</v>
      </c>
      <c r="C2409" s="704" t="s">
        <v>565</v>
      </c>
      <c r="D2409" s="704" t="s">
        <v>521</v>
      </c>
      <c r="E2409" s="704">
        <v>1</v>
      </c>
      <c r="F2409" s="704">
        <v>100</v>
      </c>
      <c r="H2409">
        <f t="shared" si="136"/>
        <v>6044</v>
      </c>
      <c r="I2409" t="str">
        <f t="shared" si="137"/>
        <v>Rest of WA</v>
      </c>
    </row>
    <row r="2410" spans="1:9" x14ac:dyDescent="0.2">
      <c r="A2410" s="704">
        <v>6050</v>
      </c>
      <c r="B2410" s="704">
        <v>6050</v>
      </c>
      <c r="C2410" s="704" t="s">
        <v>586</v>
      </c>
      <c r="D2410" s="704" t="s">
        <v>552</v>
      </c>
      <c r="E2410" s="704">
        <v>1</v>
      </c>
      <c r="F2410" s="704">
        <v>100</v>
      </c>
      <c r="H2410">
        <f t="shared" si="136"/>
        <v>6050</v>
      </c>
      <c r="I2410" t="str">
        <f t="shared" si="137"/>
        <v>Greater Perth</v>
      </c>
    </row>
    <row r="2411" spans="1:9" x14ac:dyDescent="0.2">
      <c r="A2411" s="704">
        <v>6051</v>
      </c>
      <c r="B2411" s="704">
        <v>6051</v>
      </c>
      <c r="C2411" s="704" t="s">
        <v>586</v>
      </c>
      <c r="D2411" s="704" t="s">
        <v>552</v>
      </c>
      <c r="E2411" s="704">
        <v>1</v>
      </c>
      <c r="F2411" s="704">
        <v>100</v>
      </c>
      <c r="H2411">
        <f t="shared" si="136"/>
        <v>6051</v>
      </c>
      <c r="I2411" t="str">
        <f t="shared" si="137"/>
        <v>Greater Perth</v>
      </c>
    </row>
    <row r="2412" spans="1:9" x14ac:dyDescent="0.2">
      <c r="A2412" s="704">
        <v>6052</v>
      </c>
      <c r="B2412" s="704">
        <v>6052</v>
      </c>
      <c r="C2412" s="704" t="s">
        <v>586</v>
      </c>
      <c r="D2412" s="704" t="s">
        <v>552</v>
      </c>
      <c r="E2412" s="704">
        <v>1</v>
      </c>
      <c r="F2412" s="704">
        <v>100</v>
      </c>
      <c r="H2412">
        <f t="shared" si="136"/>
        <v>6052</v>
      </c>
      <c r="I2412" t="str">
        <f t="shared" si="137"/>
        <v>Greater Perth</v>
      </c>
    </row>
    <row r="2413" spans="1:9" x14ac:dyDescent="0.2">
      <c r="A2413" s="704">
        <v>6053</v>
      </c>
      <c r="B2413" s="704">
        <v>6053</v>
      </c>
      <c r="C2413" s="704" t="s">
        <v>586</v>
      </c>
      <c r="D2413" s="704" t="s">
        <v>552</v>
      </c>
      <c r="E2413" s="704">
        <v>0.99901200000000001</v>
      </c>
      <c r="F2413" s="704">
        <v>99.901200000000003</v>
      </c>
      <c r="H2413">
        <f t="shared" si="136"/>
        <v>6053</v>
      </c>
      <c r="I2413" t="str">
        <f t="shared" si="137"/>
        <v>Greater Perth</v>
      </c>
    </row>
    <row r="2414" spans="1:9" x14ac:dyDescent="0.2">
      <c r="A2414" s="704">
        <v>6054</v>
      </c>
      <c r="B2414" s="704">
        <v>6054</v>
      </c>
      <c r="C2414" s="704" t="s">
        <v>586</v>
      </c>
      <c r="D2414" s="704" t="s">
        <v>552</v>
      </c>
      <c r="E2414" s="704">
        <v>0.99958000000000002</v>
      </c>
      <c r="F2414" s="704">
        <v>99.957999999999998</v>
      </c>
      <c r="H2414">
        <f t="shared" si="136"/>
        <v>6054</v>
      </c>
      <c r="I2414" t="str">
        <f t="shared" si="137"/>
        <v>Greater Perth</v>
      </c>
    </row>
    <row r="2415" spans="1:9" x14ac:dyDescent="0.2">
      <c r="A2415" s="704">
        <v>6055</v>
      </c>
      <c r="B2415" s="704">
        <v>6055</v>
      </c>
      <c r="C2415" s="704" t="s">
        <v>586</v>
      </c>
      <c r="D2415" s="704" t="s">
        <v>552</v>
      </c>
      <c r="E2415" s="704">
        <v>1</v>
      </c>
      <c r="F2415" s="704">
        <v>100</v>
      </c>
      <c r="H2415">
        <f t="shared" si="136"/>
        <v>6055</v>
      </c>
      <c r="I2415" t="str">
        <f t="shared" si="137"/>
        <v>Greater Perth</v>
      </c>
    </row>
    <row r="2416" spans="1:9" x14ac:dyDescent="0.2">
      <c r="A2416" s="704">
        <v>6056</v>
      </c>
      <c r="B2416" s="704">
        <v>6056</v>
      </c>
      <c r="C2416" s="704" t="s">
        <v>586</v>
      </c>
      <c r="D2416" s="704" t="s">
        <v>552</v>
      </c>
      <c r="E2416" s="704">
        <v>1</v>
      </c>
      <c r="F2416" s="704">
        <v>100</v>
      </c>
      <c r="H2416">
        <f t="shared" si="136"/>
        <v>6056</v>
      </c>
      <c r="I2416" t="str">
        <f t="shared" si="137"/>
        <v>Greater Perth</v>
      </c>
    </row>
    <row r="2417" spans="1:9" x14ac:dyDescent="0.2">
      <c r="A2417" s="704">
        <v>6057</v>
      </c>
      <c r="B2417" s="704">
        <v>6057</v>
      </c>
      <c r="C2417" s="704" t="s">
        <v>586</v>
      </c>
      <c r="D2417" s="704" t="s">
        <v>552</v>
      </c>
      <c r="E2417" s="704">
        <v>1</v>
      </c>
      <c r="F2417" s="704">
        <v>100</v>
      </c>
      <c r="H2417">
        <f t="shared" si="136"/>
        <v>6057</v>
      </c>
      <c r="I2417" t="str">
        <f t="shared" si="137"/>
        <v>Greater Perth</v>
      </c>
    </row>
    <row r="2418" spans="1:9" x14ac:dyDescent="0.2">
      <c r="A2418" s="704">
        <v>6058</v>
      </c>
      <c r="B2418" s="704">
        <v>6058</v>
      </c>
      <c r="C2418" s="704" t="s">
        <v>586</v>
      </c>
      <c r="D2418" s="704" t="s">
        <v>552</v>
      </c>
      <c r="E2418" s="704">
        <v>1</v>
      </c>
      <c r="F2418" s="704">
        <v>100</v>
      </c>
      <c r="H2418">
        <f t="shared" si="136"/>
        <v>6058</v>
      </c>
      <c r="I2418" t="str">
        <f t="shared" si="137"/>
        <v>Greater Perth</v>
      </c>
    </row>
    <row r="2419" spans="1:9" x14ac:dyDescent="0.2">
      <c r="A2419" s="704">
        <v>6059</v>
      </c>
      <c r="B2419" s="704">
        <v>6059</v>
      </c>
      <c r="C2419" s="704" t="s">
        <v>586</v>
      </c>
      <c r="D2419" s="704" t="s">
        <v>552</v>
      </c>
      <c r="E2419" s="704">
        <v>1</v>
      </c>
      <c r="F2419" s="704">
        <v>100</v>
      </c>
      <c r="H2419">
        <f t="shared" si="136"/>
        <v>6059</v>
      </c>
      <c r="I2419" t="str">
        <f t="shared" si="137"/>
        <v>Greater Perth</v>
      </c>
    </row>
    <row r="2420" spans="1:9" x14ac:dyDescent="0.2">
      <c r="A2420" s="704">
        <v>6060</v>
      </c>
      <c r="B2420" s="704">
        <v>6060</v>
      </c>
      <c r="C2420" s="704" t="s">
        <v>586</v>
      </c>
      <c r="D2420" s="704" t="s">
        <v>552</v>
      </c>
      <c r="E2420" s="704">
        <v>1</v>
      </c>
      <c r="F2420" s="704">
        <v>100</v>
      </c>
      <c r="H2420">
        <f t="shared" si="136"/>
        <v>6060</v>
      </c>
      <c r="I2420" t="str">
        <f t="shared" si="137"/>
        <v>Greater Perth</v>
      </c>
    </row>
    <row r="2421" spans="1:9" x14ac:dyDescent="0.2">
      <c r="A2421" s="704">
        <v>6061</v>
      </c>
      <c r="B2421" s="704">
        <v>6061</v>
      </c>
      <c r="C2421" s="704" t="s">
        <v>586</v>
      </c>
      <c r="D2421" s="704" t="s">
        <v>552</v>
      </c>
      <c r="E2421" s="704">
        <v>1</v>
      </c>
      <c r="F2421" s="704">
        <v>100</v>
      </c>
      <c r="H2421">
        <f t="shared" si="136"/>
        <v>6061</v>
      </c>
      <c r="I2421" t="str">
        <f t="shared" si="137"/>
        <v>Greater Perth</v>
      </c>
    </row>
    <row r="2422" spans="1:9" x14ac:dyDescent="0.2">
      <c r="A2422" s="704">
        <v>6062</v>
      </c>
      <c r="B2422" s="704">
        <v>6062</v>
      </c>
      <c r="C2422" s="704" t="s">
        <v>586</v>
      </c>
      <c r="D2422" s="704" t="s">
        <v>552</v>
      </c>
      <c r="E2422" s="704">
        <v>1</v>
      </c>
      <c r="F2422" s="704">
        <v>100</v>
      </c>
      <c r="H2422">
        <f t="shared" si="136"/>
        <v>6062</v>
      </c>
      <c r="I2422" t="str">
        <f t="shared" si="137"/>
        <v>Greater Perth</v>
      </c>
    </row>
    <row r="2423" spans="1:9" x14ac:dyDescent="0.2">
      <c r="A2423" s="704">
        <v>6063</v>
      </c>
      <c r="B2423" s="704">
        <v>6063</v>
      </c>
      <c r="C2423" s="704" t="s">
        <v>586</v>
      </c>
      <c r="D2423" s="704" t="s">
        <v>552</v>
      </c>
      <c r="E2423" s="704">
        <v>1</v>
      </c>
      <c r="F2423" s="704">
        <v>100</v>
      </c>
      <c r="H2423">
        <f t="shared" si="136"/>
        <v>6063</v>
      </c>
      <c r="I2423" t="str">
        <f t="shared" si="137"/>
        <v>Greater Perth</v>
      </c>
    </row>
    <row r="2424" spans="1:9" x14ac:dyDescent="0.2">
      <c r="A2424" s="704">
        <v>6064</v>
      </c>
      <c r="B2424" s="704">
        <v>6064</v>
      </c>
      <c r="C2424" s="704" t="s">
        <v>586</v>
      </c>
      <c r="D2424" s="704" t="s">
        <v>552</v>
      </c>
      <c r="E2424" s="704">
        <v>1</v>
      </c>
      <c r="F2424" s="704">
        <v>100</v>
      </c>
      <c r="H2424">
        <f t="shared" si="136"/>
        <v>6064</v>
      </c>
      <c r="I2424" t="str">
        <f t="shared" si="137"/>
        <v>Greater Perth</v>
      </c>
    </row>
    <row r="2425" spans="1:9" x14ac:dyDescent="0.2">
      <c r="A2425" s="704">
        <v>6065</v>
      </c>
      <c r="B2425" s="704">
        <v>6065</v>
      </c>
      <c r="C2425" s="704" t="s">
        <v>586</v>
      </c>
      <c r="D2425" s="704" t="s">
        <v>552</v>
      </c>
      <c r="E2425" s="704">
        <v>1</v>
      </c>
      <c r="F2425" s="704">
        <v>100</v>
      </c>
      <c r="H2425">
        <f t="shared" ref="H2425:H2488" si="138">A2425*1</f>
        <v>6065</v>
      </c>
      <c r="I2425" t="str">
        <f t="shared" ref="I2425:I2488" si="139">D2425</f>
        <v>Greater Perth</v>
      </c>
    </row>
    <row r="2426" spans="1:9" x14ac:dyDescent="0.2">
      <c r="A2426" s="704">
        <v>6066</v>
      </c>
      <c r="B2426" s="704">
        <v>6066</v>
      </c>
      <c r="C2426" s="704" t="s">
        <v>586</v>
      </c>
      <c r="D2426" s="704" t="s">
        <v>552</v>
      </c>
      <c r="E2426" s="704">
        <v>1</v>
      </c>
      <c r="F2426" s="704">
        <v>100</v>
      </c>
      <c r="H2426">
        <f t="shared" si="138"/>
        <v>6066</v>
      </c>
      <c r="I2426" t="str">
        <f t="shared" si="139"/>
        <v>Greater Perth</v>
      </c>
    </row>
    <row r="2427" spans="1:9" x14ac:dyDescent="0.2">
      <c r="A2427" s="704">
        <v>6067</v>
      </c>
      <c r="B2427" s="704">
        <v>6067</v>
      </c>
      <c r="C2427" s="704" t="s">
        <v>586</v>
      </c>
      <c r="D2427" s="704" t="s">
        <v>552</v>
      </c>
      <c r="E2427" s="704">
        <v>1</v>
      </c>
      <c r="F2427" s="704">
        <v>100</v>
      </c>
      <c r="H2427">
        <f t="shared" si="138"/>
        <v>6067</v>
      </c>
      <c r="I2427" t="str">
        <f t="shared" si="139"/>
        <v>Greater Perth</v>
      </c>
    </row>
    <row r="2428" spans="1:9" x14ac:dyDescent="0.2">
      <c r="A2428" s="704">
        <v>6068</v>
      </c>
      <c r="B2428" s="704">
        <v>6068</v>
      </c>
      <c r="C2428" s="704" t="s">
        <v>586</v>
      </c>
      <c r="D2428" s="704" t="s">
        <v>552</v>
      </c>
      <c r="E2428" s="704">
        <v>1</v>
      </c>
      <c r="F2428" s="704">
        <v>100</v>
      </c>
      <c r="H2428">
        <f t="shared" si="138"/>
        <v>6068</v>
      </c>
      <c r="I2428" t="str">
        <f t="shared" si="139"/>
        <v>Greater Perth</v>
      </c>
    </row>
    <row r="2429" spans="1:9" x14ac:dyDescent="0.2">
      <c r="A2429" s="704">
        <v>6069</v>
      </c>
      <c r="B2429" s="704">
        <v>6069</v>
      </c>
      <c r="C2429" s="704" t="s">
        <v>586</v>
      </c>
      <c r="D2429" s="704" t="s">
        <v>552</v>
      </c>
      <c r="E2429" s="704">
        <v>1</v>
      </c>
      <c r="F2429" s="704">
        <v>100</v>
      </c>
      <c r="H2429">
        <f t="shared" si="138"/>
        <v>6069</v>
      </c>
      <c r="I2429" t="str">
        <f t="shared" si="139"/>
        <v>Greater Perth</v>
      </c>
    </row>
    <row r="2430" spans="1:9" x14ac:dyDescent="0.2">
      <c r="A2430" s="704">
        <v>6070</v>
      </c>
      <c r="B2430" s="704">
        <v>6070</v>
      </c>
      <c r="C2430" s="704" t="s">
        <v>586</v>
      </c>
      <c r="D2430" s="704" t="s">
        <v>552</v>
      </c>
      <c r="E2430" s="704">
        <v>1</v>
      </c>
      <c r="F2430" s="704">
        <v>100</v>
      </c>
      <c r="H2430">
        <f t="shared" si="138"/>
        <v>6070</v>
      </c>
      <c r="I2430" t="str">
        <f t="shared" si="139"/>
        <v>Greater Perth</v>
      </c>
    </row>
    <row r="2431" spans="1:9" x14ac:dyDescent="0.2">
      <c r="A2431" s="704">
        <v>6071</v>
      </c>
      <c r="B2431" s="704">
        <v>6071</v>
      </c>
      <c r="C2431" s="704" t="s">
        <v>586</v>
      </c>
      <c r="D2431" s="704" t="s">
        <v>552</v>
      </c>
      <c r="E2431" s="704">
        <v>1</v>
      </c>
      <c r="F2431" s="704">
        <v>100</v>
      </c>
      <c r="H2431">
        <f t="shared" si="138"/>
        <v>6071</v>
      </c>
      <c r="I2431" t="str">
        <f t="shared" si="139"/>
        <v>Greater Perth</v>
      </c>
    </row>
    <row r="2432" spans="1:9" x14ac:dyDescent="0.2">
      <c r="A2432" s="704">
        <v>6072</v>
      </c>
      <c r="B2432" s="704">
        <v>6072</v>
      </c>
      <c r="C2432" s="704" t="s">
        <v>586</v>
      </c>
      <c r="D2432" s="704" t="s">
        <v>552</v>
      </c>
      <c r="E2432" s="704">
        <v>1</v>
      </c>
      <c r="F2432" s="704">
        <v>100</v>
      </c>
      <c r="H2432">
        <f t="shared" si="138"/>
        <v>6072</v>
      </c>
      <c r="I2432" t="str">
        <f t="shared" si="139"/>
        <v>Greater Perth</v>
      </c>
    </row>
    <row r="2433" spans="1:9" x14ac:dyDescent="0.2">
      <c r="A2433" s="704">
        <v>6073</v>
      </c>
      <c r="B2433" s="704">
        <v>6073</v>
      </c>
      <c r="C2433" s="704" t="s">
        <v>586</v>
      </c>
      <c r="D2433" s="704" t="s">
        <v>552</v>
      </c>
      <c r="E2433" s="704">
        <v>1</v>
      </c>
      <c r="F2433" s="704">
        <v>100</v>
      </c>
      <c r="H2433">
        <f t="shared" si="138"/>
        <v>6073</v>
      </c>
      <c r="I2433" t="str">
        <f t="shared" si="139"/>
        <v>Greater Perth</v>
      </c>
    </row>
    <row r="2434" spans="1:9" x14ac:dyDescent="0.2">
      <c r="A2434" s="704">
        <v>6074</v>
      </c>
      <c r="B2434" s="704">
        <v>6074</v>
      </c>
      <c r="C2434" s="704" t="s">
        <v>586</v>
      </c>
      <c r="D2434" s="704" t="s">
        <v>552</v>
      </c>
      <c r="E2434" s="704">
        <v>1</v>
      </c>
      <c r="F2434" s="704">
        <v>100</v>
      </c>
      <c r="H2434">
        <f t="shared" si="138"/>
        <v>6074</v>
      </c>
      <c r="I2434" t="str">
        <f t="shared" si="139"/>
        <v>Greater Perth</v>
      </c>
    </row>
    <row r="2435" spans="1:9" x14ac:dyDescent="0.2">
      <c r="A2435" s="704">
        <v>6076</v>
      </c>
      <c r="B2435" s="704">
        <v>6076</v>
      </c>
      <c r="C2435" s="704" t="s">
        <v>586</v>
      </c>
      <c r="D2435" s="704" t="s">
        <v>552</v>
      </c>
      <c r="E2435" s="704">
        <v>1</v>
      </c>
      <c r="F2435" s="704">
        <v>100</v>
      </c>
      <c r="H2435">
        <f t="shared" si="138"/>
        <v>6076</v>
      </c>
      <c r="I2435" t="str">
        <f t="shared" si="139"/>
        <v>Greater Perth</v>
      </c>
    </row>
    <row r="2436" spans="1:9" x14ac:dyDescent="0.2">
      <c r="A2436" s="704">
        <v>6077</v>
      </c>
      <c r="B2436" s="704">
        <v>6077</v>
      </c>
      <c r="C2436" s="704" t="s">
        <v>586</v>
      </c>
      <c r="D2436" s="704" t="s">
        <v>552</v>
      </c>
      <c r="E2436" s="704">
        <v>1</v>
      </c>
      <c r="F2436" s="704">
        <v>100</v>
      </c>
      <c r="H2436">
        <f t="shared" si="138"/>
        <v>6077</v>
      </c>
      <c r="I2436" t="str">
        <f t="shared" si="139"/>
        <v>Greater Perth</v>
      </c>
    </row>
    <row r="2437" spans="1:9" x14ac:dyDescent="0.2">
      <c r="A2437" s="704">
        <v>6078</v>
      </c>
      <c r="B2437" s="704">
        <v>6078</v>
      </c>
      <c r="C2437" s="704" t="s">
        <v>586</v>
      </c>
      <c r="D2437" s="704" t="s">
        <v>552</v>
      </c>
      <c r="E2437" s="704">
        <v>1</v>
      </c>
      <c r="F2437" s="704">
        <v>100</v>
      </c>
      <c r="H2437">
        <f t="shared" si="138"/>
        <v>6078</v>
      </c>
      <c r="I2437" t="str">
        <f t="shared" si="139"/>
        <v>Greater Perth</v>
      </c>
    </row>
    <row r="2438" spans="1:9" x14ac:dyDescent="0.2">
      <c r="A2438" s="704">
        <v>6079</v>
      </c>
      <c r="B2438" s="704">
        <v>6079</v>
      </c>
      <c r="C2438" s="704" t="s">
        <v>586</v>
      </c>
      <c r="D2438" s="704" t="s">
        <v>552</v>
      </c>
      <c r="E2438" s="704">
        <v>1</v>
      </c>
      <c r="F2438" s="704">
        <v>100</v>
      </c>
      <c r="H2438">
        <f t="shared" si="138"/>
        <v>6079</v>
      </c>
      <c r="I2438" t="str">
        <f t="shared" si="139"/>
        <v>Greater Perth</v>
      </c>
    </row>
    <row r="2439" spans="1:9" x14ac:dyDescent="0.2">
      <c r="A2439" s="704">
        <v>6081</v>
      </c>
      <c r="B2439" s="704">
        <v>6081</v>
      </c>
      <c r="C2439" s="704" t="s">
        <v>586</v>
      </c>
      <c r="D2439" s="704" t="s">
        <v>552</v>
      </c>
      <c r="E2439" s="704">
        <v>1</v>
      </c>
      <c r="F2439" s="704">
        <v>100</v>
      </c>
      <c r="H2439">
        <f t="shared" si="138"/>
        <v>6081</v>
      </c>
      <c r="I2439" t="str">
        <f t="shared" si="139"/>
        <v>Greater Perth</v>
      </c>
    </row>
    <row r="2440" spans="1:9" x14ac:dyDescent="0.2">
      <c r="A2440" s="704">
        <v>6082</v>
      </c>
      <c r="B2440" s="704">
        <v>6082</v>
      </c>
      <c r="C2440" s="704" t="s">
        <v>586</v>
      </c>
      <c r="D2440" s="704" t="s">
        <v>552</v>
      </c>
      <c r="E2440" s="704">
        <v>1</v>
      </c>
      <c r="F2440" s="704">
        <v>100</v>
      </c>
      <c r="H2440">
        <f t="shared" si="138"/>
        <v>6082</v>
      </c>
      <c r="I2440" t="str">
        <f t="shared" si="139"/>
        <v>Greater Perth</v>
      </c>
    </row>
    <row r="2441" spans="1:9" x14ac:dyDescent="0.2">
      <c r="A2441" s="704">
        <v>6083</v>
      </c>
      <c r="B2441" s="704">
        <v>6083</v>
      </c>
      <c r="C2441" s="704" t="s">
        <v>586</v>
      </c>
      <c r="D2441" s="704" t="s">
        <v>552</v>
      </c>
      <c r="E2441" s="704">
        <v>0.75918200000000002</v>
      </c>
      <c r="F2441" s="704">
        <v>75.918199999999999</v>
      </c>
      <c r="H2441">
        <f t="shared" si="138"/>
        <v>6083</v>
      </c>
      <c r="I2441" t="str">
        <f t="shared" si="139"/>
        <v>Greater Perth</v>
      </c>
    </row>
    <row r="2442" spans="1:9" x14ac:dyDescent="0.2">
      <c r="A2442" s="704">
        <v>6083</v>
      </c>
      <c r="B2442" s="704">
        <v>6083</v>
      </c>
      <c r="C2442" s="704" t="s">
        <v>565</v>
      </c>
      <c r="D2442" s="704" t="s">
        <v>521</v>
      </c>
      <c r="E2442" s="704">
        <v>0.240818</v>
      </c>
      <c r="F2442" s="704">
        <v>24.081800000000001</v>
      </c>
      <c r="H2442">
        <f t="shared" si="138"/>
        <v>6083</v>
      </c>
      <c r="I2442" t="str">
        <f t="shared" si="139"/>
        <v>Rest of WA</v>
      </c>
    </row>
    <row r="2443" spans="1:9" x14ac:dyDescent="0.2">
      <c r="A2443" s="704">
        <v>6084</v>
      </c>
      <c r="B2443" s="704">
        <v>6084</v>
      </c>
      <c r="C2443" s="704" t="s">
        <v>586</v>
      </c>
      <c r="D2443" s="704" t="s">
        <v>552</v>
      </c>
      <c r="E2443" s="704">
        <v>0.66489100000000001</v>
      </c>
      <c r="F2443" s="704">
        <v>66.489099999999993</v>
      </c>
      <c r="H2443">
        <f t="shared" si="138"/>
        <v>6084</v>
      </c>
      <c r="I2443" t="str">
        <f t="shared" si="139"/>
        <v>Greater Perth</v>
      </c>
    </row>
    <row r="2444" spans="1:9" x14ac:dyDescent="0.2">
      <c r="A2444" s="704">
        <v>6084</v>
      </c>
      <c r="B2444" s="704">
        <v>6084</v>
      </c>
      <c r="C2444" s="704" t="s">
        <v>565</v>
      </c>
      <c r="D2444" s="704" t="s">
        <v>521</v>
      </c>
      <c r="E2444" s="704">
        <v>0.33510899999999999</v>
      </c>
      <c r="F2444" s="704">
        <v>33.510899999999999</v>
      </c>
      <c r="H2444">
        <f t="shared" si="138"/>
        <v>6084</v>
      </c>
      <c r="I2444" t="str">
        <f t="shared" si="139"/>
        <v>Rest of WA</v>
      </c>
    </row>
    <row r="2445" spans="1:9" x14ac:dyDescent="0.2">
      <c r="A2445" s="704">
        <v>6090</v>
      </c>
      <c r="B2445" s="704">
        <v>6090</v>
      </c>
      <c r="C2445" s="704" t="s">
        <v>586</v>
      </c>
      <c r="D2445" s="704" t="s">
        <v>552</v>
      </c>
      <c r="E2445" s="704">
        <v>1</v>
      </c>
      <c r="F2445" s="704">
        <v>100</v>
      </c>
      <c r="H2445">
        <f t="shared" si="138"/>
        <v>6090</v>
      </c>
      <c r="I2445" t="str">
        <f t="shared" si="139"/>
        <v>Greater Perth</v>
      </c>
    </row>
    <row r="2446" spans="1:9" x14ac:dyDescent="0.2">
      <c r="A2446" s="704">
        <v>6100</v>
      </c>
      <c r="B2446" s="704">
        <v>6100</v>
      </c>
      <c r="C2446" s="704" t="s">
        <v>586</v>
      </c>
      <c r="D2446" s="704" t="s">
        <v>552</v>
      </c>
      <c r="E2446" s="704">
        <v>1</v>
      </c>
      <c r="F2446" s="704">
        <v>100</v>
      </c>
      <c r="H2446">
        <f t="shared" si="138"/>
        <v>6100</v>
      </c>
      <c r="I2446" t="str">
        <f t="shared" si="139"/>
        <v>Greater Perth</v>
      </c>
    </row>
    <row r="2447" spans="1:9" x14ac:dyDescent="0.2">
      <c r="A2447" s="704">
        <v>6101</v>
      </c>
      <c r="B2447" s="704">
        <v>6101</v>
      </c>
      <c r="C2447" s="704" t="s">
        <v>586</v>
      </c>
      <c r="D2447" s="704" t="s">
        <v>552</v>
      </c>
      <c r="E2447" s="704">
        <v>1</v>
      </c>
      <c r="F2447" s="704">
        <v>100</v>
      </c>
      <c r="H2447">
        <f t="shared" si="138"/>
        <v>6101</v>
      </c>
      <c r="I2447" t="str">
        <f t="shared" si="139"/>
        <v>Greater Perth</v>
      </c>
    </row>
    <row r="2448" spans="1:9" x14ac:dyDescent="0.2">
      <c r="A2448" s="704">
        <v>6102</v>
      </c>
      <c r="B2448" s="704">
        <v>6102</v>
      </c>
      <c r="C2448" s="704" t="s">
        <v>586</v>
      </c>
      <c r="D2448" s="704" t="s">
        <v>552</v>
      </c>
      <c r="E2448" s="704">
        <v>1</v>
      </c>
      <c r="F2448" s="704">
        <v>100</v>
      </c>
      <c r="H2448">
        <f t="shared" si="138"/>
        <v>6102</v>
      </c>
      <c r="I2448" t="str">
        <f t="shared" si="139"/>
        <v>Greater Perth</v>
      </c>
    </row>
    <row r="2449" spans="1:9" x14ac:dyDescent="0.2">
      <c r="A2449" s="704">
        <v>6103</v>
      </c>
      <c r="B2449" s="704">
        <v>6103</v>
      </c>
      <c r="C2449" s="704" t="s">
        <v>586</v>
      </c>
      <c r="D2449" s="704" t="s">
        <v>552</v>
      </c>
      <c r="E2449" s="704">
        <v>1</v>
      </c>
      <c r="F2449" s="704">
        <v>100</v>
      </c>
      <c r="H2449">
        <f t="shared" si="138"/>
        <v>6103</v>
      </c>
      <c r="I2449" t="str">
        <f t="shared" si="139"/>
        <v>Greater Perth</v>
      </c>
    </row>
    <row r="2450" spans="1:9" x14ac:dyDescent="0.2">
      <c r="A2450" s="704">
        <v>6104</v>
      </c>
      <c r="B2450" s="704">
        <v>6104</v>
      </c>
      <c r="C2450" s="704" t="s">
        <v>586</v>
      </c>
      <c r="D2450" s="704" t="s">
        <v>552</v>
      </c>
      <c r="E2450" s="704">
        <v>1</v>
      </c>
      <c r="F2450" s="704">
        <v>100</v>
      </c>
      <c r="H2450">
        <f t="shared" si="138"/>
        <v>6104</v>
      </c>
      <c r="I2450" t="str">
        <f t="shared" si="139"/>
        <v>Greater Perth</v>
      </c>
    </row>
    <row r="2451" spans="1:9" x14ac:dyDescent="0.2">
      <c r="A2451" s="704">
        <v>6105</v>
      </c>
      <c r="B2451" s="704">
        <v>6105</v>
      </c>
      <c r="C2451" s="704" t="s">
        <v>586</v>
      </c>
      <c r="D2451" s="704" t="s">
        <v>552</v>
      </c>
      <c r="E2451" s="704">
        <v>1</v>
      </c>
      <c r="F2451" s="704">
        <v>100</v>
      </c>
      <c r="H2451">
        <f t="shared" si="138"/>
        <v>6105</v>
      </c>
      <c r="I2451" t="str">
        <f t="shared" si="139"/>
        <v>Greater Perth</v>
      </c>
    </row>
    <row r="2452" spans="1:9" x14ac:dyDescent="0.2">
      <c r="A2452" s="704">
        <v>6106</v>
      </c>
      <c r="B2452" s="704">
        <v>6106</v>
      </c>
      <c r="C2452" s="704" t="s">
        <v>586</v>
      </c>
      <c r="D2452" s="704" t="s">
        <v>552</v>
      </c>
      <c r="E2452" s="704">
        <v>1</v>
      </c>
      <c r="F2452" s="704">
        <v>100</v>
      </c>
      <c r="H2452">
        <f t="shared" si="138"/>
        <v>6106</v>
      </c>
      <c r="I2452" t="str">
        <f t="shared" si="139"/>
        <v>Greater Perth</v>
      </c>
    </row>
    <row r="2453" spans="1:9" x14ac:dyDescent="0.2">
      <c r="A2453" s="704">
        <v>6107</v>
      </c>
      <c r="B2453" s="704">
        <v>6107</v>
      </c>
      <c r="C2453" s="704" t="s">
        <v>586</v>
      </c>
      <c r="D2453" s="704" t="s">
        <v>552</v>
      </c>
      <c r="E2453" s="704">
        <v>1</v>
      </c>
      <c r="F2453" s="704">
        <v>100</v>
      </c>
      <c r="H2453">
        <f t="shared" si="138"/>
        <v>6107</v>
      </c>
      <c r="I2453" t="str">
        <f t="shared" si="139"/>
        <v>Greater Perth</v>
      </c>
    </row>
    <row r="2454" spans="1:9" x14ac:dyDescent="0.2">
      <c r="A2454" s="704">
        <v>6108</v>
      </c>
      <c r="B2454" s="704">
        <v>6108</v>
      </c>
      <c r="C2454" s="704" t="s">
        <v>586</v>
      </c>
      <c r="D2454" s="704" t="s">
        <v>552</v>
      </c>
      <c r="E2454" s="704">
        <v>1</v>
      </c>
      <c r="F2454" s="704">
        <v>100</v>
      </c>
      <c r="H2454">
        <f t="shared" si="138"/>
        <v>6108</v>
      </c>
      <c r="I2454" t="str">
        <f t="shared" si="139"/>
        <v>Greater Perth</v>
      </c>
    </row>
    <row r="2455" spans="1:9" x14ac:dyDescent="0.2">
      <c r="A2455" s="704">
        <v>6109</v>
      </c>
      <c r="B2455" s="704">
        <v>6109</v>
      </c>
      <c r="C2455" s="704" t="s">
        <v>586</v>
      </c>
      <c r="D2455" s="704" t="s">
        <v>552</v>
      </c>
      <c r="E2455" s="704">
        <v>1</v>
      </c>
      <c r="F2455" s="704">
        <v>100</v>
      </c>
      <c r="H2455">
        <f t="shared" si="138"/>
        <v>6109</v>
      </c>
      <c r="I2455" t="str">
        <f t="shared" si="139"/>
        <v>Greater Perth</v>
      </c>
    </row>
    <row r="2456" spans="1:9" x14ac:dyDescent="0.2">
      <c r="A2456" s="704">
        <v>6110</v>
      </c>
      <c r="B2456" s="704">
        <v>6110</v>
      </c>
      <c r="C2456" s="704" t="s">
        <v>586</v>
      </c>
      <c r="D2456" s="704" t="s">
        <v>552</v>
      </c>
      <c r="E2456" s="704">
        <v>1</v>
      </c>
      <c r="F2456" s="704">
        <v>100</v>
      </c>
      <c r="H2456">
        <f t="shared" si="138"/>
        <v>6110</v>
      </c>
      <c r="I2456" t="str">
        <f t="shared" si="139"/>
        <v>Greater Perth</v>
      </c>
    </row>
    <row r="2457" spans="1:9" x14ac:dyDescent="0.2">
      <c r="A2457" s="704">
        <v>6111</v>
      </c>
      <c r="B2457" s="704">
        <v>6111</v>
      </c>
      <c r="C2457" s="704" t="s">
        <v>586</v>
      </c>
      <c r="D2457" s="704" t="s">
        <v>552</v>
      </c>
      <c r="E2457" s="704">
        <v>1</v>
      </c>
      <c r="F2457" s="704">
        <v>100</v>
      </c>
      <c r="H2457">
        <f t="shared" si="138"/>
        <v>6111</v>
      </c>
      <c r="I2457" t="str">
        <f t="shared" si="139"/>
        <v>Greater Perth</v>
      </c>
    </row>
    <row r="2458" spans="1:9" x14ac:dyDescent="0.2">
      <c r="A2458" s="704">
        <v>6112</v>
      </c>
      <c r="B2458" s="704">
        <v>6112</v>
      </c>
      <c r="C2458" s="704" t="s">
        <v>586</v>
      </c>
      <c r="D2458" s="704" t="s">
        <v>552</v>
      </c>
      <c r="E2458" s="704">
        <v>1</v>
      </c>
      <c r="F2458" s="704">
        <v>100</v>
      </c>
      <c r="H2458">
        <f t="shared" si="138"/>
        <v>6112</v>
      </c>
      <c r="I2458" t="str">
        <f t="shared" si="139"/>
        <v>Greater Perth</v>
      </c>
    </row>
    <row r="2459" spans="1:9" x14ac:dyDescent="0.2">
      <c r="A2459" s="704">
        <v>6121</v>
      </c>
      <c r="B2459" s="704">
        <v>6121</v>
      </c>
      <c r="C2459" s="704" t="s">
        <v>586</v>
      </c>
      <c r="D2459" s="704" t="s">
        <v>552</v>
      </c>
      <c r="E2459" s="704">
        <v>1</v>
      </c>
      <c r="F2459" s="704">
        <v>100</v>
      </c>
      <c r="H2459">
        <f t="shared" si="138"/>
        <v>6121</v>
      </c>
      <c r="I2459" t="str">
        <f t="shared" si="139"/>
        <v>Greater Perth</v>
      </c>
    </row>
    <row r="2460" spans="1:9" x14ac:dyDescent="0.2">
      <c r="A2460" s="704">
        <v>6122</v>
      </c>
      <c r="B2460" s="704">
        <v>6122</v>
      </c>
      <c r="C2460" s="704" t="s">
        <v>586</v>
      </c>
      <c r="D2460" s="704" t="s">
        <v>552</v>
      </c>
      <c r="E2460" s="704">
        <v>1</v>
      </c>
      <c r="F2460" s="704">
        <v>100</v>
      </c>
      <c r="H2460">
        <f t="shared" si="138"/>
        <v>6122</v>
      </c>
      <c r="I2460" t="str">
        <f t="shared" si="139"/>
        <v>Greater Perth</v>
      </c>
    </row>
    <row r="2461" spans="1:9" x14ac:dyDescent="0.2">
      <c r="A2461" s="704">
        <v>6123</v>
      </c>
      <c r="B2461" s="704">
        <v>6123</v>
      </c>
      <c r="C2461" s="704" t="s">
        <v>586</v>
      </c>
      <c r="D2461" s="704" t="s">
        <v>552</v>
      </c>
      <c r="E2461" s="704">
        <v>1</v>
      </c>
      <c r="F2461" s="704">
        <v>100</v>
      </c>
      <c r="H2461">
        <f t="shared" si="138"/>
        <v>6123</v>
      </c>
      <c r="I2461" t="str">
        <f t="shared" si="139"/>
        <v>Greater Perth</v>
      </c>
    </row>
    <row r="2462" spans="1:9" x14ac:dyDescent="0.2">
      <c r="A2462" s="704">
        <v>6124</v>
      </c>
      <c r="B2462" s="704">
        <v>6124</v>
      </c>
      <c r="C2462" s="704" t="s">
        <v>586</v>
      </c>
      <c r="D2462" s="704" t="s">
        <v>552</v>
      </c>
      <c r="E2462" s="704">
        <v>1</v>
      </c>
      <c r="F2462" s="704">
        <v>100</v>
      </c>
      <c r="H2462">
        <f t="shared" si="138"/>
        <v>6124</v>
      </c>
      <c r="I2462" t="str">
        <f t="shared" si="139"/>
        <v>Greater Perth</v>
      </c>
    </row>
    <row r="2463" spans="1:9" x14ac:dyDescent="0.2">
      <c r="A2463" s="704">
        <v>6125</v>
      </c>
      <c r="B2463" s="704">
        <v>6125</v>
      </c>
      <c r="C2463" s="704" t="s">
        <v>586</v>
      </c>
      <c r="D2463" s="704" t="s">
        <v>552</v>
      </c>
      <c r="E2463" s="704">
        <v>1</v>
      </c>
      <c r="F2463" s="704">
        <v>100</v>
      </c>
      <c r="H2463">
        <f t="shared" si="138"/>
        <v>6125</v>
      </c>
      <c r="I2463" t="str">
        <f t="shared" si="139"/>
        <v>Greater Perth</v>
      </c>
    </row>
    <row r="2464" spans="1:9" x14ac:dyDescent="0.2">
      <c r="A2464" s="704">
        <v>6126</v>
      </c>
      <c r="B2464" s="704">
        <v>6126</v>
      </c>
      <c r="C2464" s="704" t="s">
        <v>586</v>
      </c>
      <c r="D2464" s="704" t="s">
        <v>552</v>
      </c>
      <c r="E2464" s="704">
        <v>1</v>
      </c>
      <c r="F2464" s="704">
        <v>100</v>
      </c>
      <c r="H2464">
        <f t="shared" si="138"/>
        <v>6126</v>
      </c>
      <c r="I2464" t="str">
        <f t="shared" si="139"/>
        <v>Greater Perth</v>
      </c>
    </row>
    <row r="2465" spans="1:9" x14ac:dyDescent="0.2">
      <c r="A2465" s="704">
        <v>6147</v>
      </c>
      <c r="B2465" s="704">
        <v>6147</v>
      </c>
      <c r="C2465" s="704" t="s">
        <v>586</v>
      </c>
      <c r="D2465" s="704" t="s">
        <v>552</v>
      </c>
      <c r="E2465" s="704">
        <v>1</v>
      </c>
      <c r="F2465" s="704">
        <v>100</v>
      </c>
      <c r="H2465">
        <f t="shared" si="138"/>
        <v>6147</v>
      </c>
      <c r="I2465" t="str">
        <f t="shared" si="139"/>
        <v>Greater Perth</v>
      </c>
    </row>
    <row r="2466" spans="1:9" x14ac:dyDescent="0.2">
      <c r="A2466" s="704">
        <v>6148</v>
      </c>
      <c r="B2466" s="704">
        <v>6148</v>
      </c>
      <c r="C2466" s="704" t="s">
        <v>586</v>
      </c>
      <c r="D2466" s="704" t="s">
        <v>552</v>
      </c>
      <c r="E2466" s="704">
        <v>0.99910600000000005</v>
      </c>
      <c r="F2466" s="704">
        <v>99.910600000000002</v>
      </c>
      <c r="H2466">
        <f t="shared" si="138"/>
        <v>6148</v>
      </c>
      <c r="I2466" t="str">
        <f t="shared" si="139"/>
        <v>Greater Perth</v>
      </c>
    </row>
    <row r="2467" spans="1:9" x14ac:dyDescent="0.2">
      <c r="A2467" s="704">
        <v>6149</v>
      </c>
      <c r="B2467" s="704">
        <v>6149</v>
      </c>
      <c r="C2467" s="704" t="s">
        <v>586</v>
      </c>
      <c r="D2467" s="704" t="s">
        <v>552</v>
      </c>
      <c r="E2467" s="704">
        <v>1</v>
      </c>
      <c r="F2467" s="704">
        <v>100</v>
      </c>
      <c r="H2467">
        <f t="shared" si="138"/>
        <v>6149</v>
      </c>
      <c r="I2467" t="str">
        <f t="shared" si="139"/>
        <v>Greater Perth</v>
      </c>
    </row>
    <row r="2468" spans="1:9" x14ac:dyDescent="0.2">
      <c r="A2468" s="704">
        <v>6150</v>
      </c>
      <c r="B2468" s="704">
        <v>6150</v>
      </c>
      <c r="C2468" s="704" t="s">
        <v>586</v>
      </c>
      <c r="D2468" s="704" t="s">
        <v>552</v>
      </c>
      <c r="E2468" s="704">
        <v>1</v>
      </c>
      <c r="F2468" s="704">
        <v>100</v>
      </c>
      <c r="H2468">
        <f t="shared" si="138"/>
        <v>6150</v>
      </c>
      <c r="I2468" t="str">
        <f t="shared" si="139"/>
        <v>Greater Perth</v>
      </c>
    </row>
    <row r="2469" spans="1:9" x14ac:dyDescent="0.2">
      <c r="A2469" s="704">
        <v>6151</v>
      </c>
      <c r="B2469" s="704">
        <v>6151</v>
      </c>
      <c r="C2469" s="704" t="s">
        <v>586</v>
      </c>
      <c r="D2469" s="704" t="s">
        <v>552</v>
      </c>
      <c r="E2469" s="704">
        <v>0.99953000000000003</v>
      </c>
      <c r="F2469" s="704">
        <v>99.953000000000003</v>
      </c>
      <c r="H2469">
        <f t="shared" si="138"/>
        <v>6151</v>
      </c>
      <c r="I2469" t="str">
        <f t="shared" si="139"/>
        <v>Greater Perth</v>
      </c>
    </row>
    <row r="2470" spans="1:9" x14ac:dyDescent="0.2">
      <c r="A2470" s="704">
        <v>6152</v>
      </c>
      <c r="B2470" s="704">
        <v>6152</v>
      </c>
      <c r="C2470" s="704" t="s">
        <v>586</v>
      </c>
      <c r="D2470" s="704" t="s">
        <v>552</v>
      </c>
      <c r="E2470" s="704">
        <v>1</v>
      </c>
      <c r="F2470" s="704">
        <v>100</v>
      </c>
      <c r="H2470">
        <f t="shared" si="138"/>
        <v>6152</v>
      </c>
      <c r="I2470" t="str">
        <f t="shared" si="139"/>
        <v>Greater Perth</v>
      </c>
    </row>
    <row r="2471" spans="1:9" x14ac:dyDescent="0.2">
      <c r="A2471" s="704">
        <v>6153</v>
      </c>
      <c r="B2471" s="704">
        <v>6153</v>
      </c>
      <c r="C2471" s="704" t="s">
        <v>586</v>
      </c>
      <c r="D2471" s="704" t="s">
        <v>552</v>
      </c>
      <c r="E2471" s="704">
        <v>0.99666299999999997</v>
      </c>
      <c r="F2471" s="704">
        <v>99.666300000000007</v>
      </c>
      <c r="H2471">
        <f t="shared" si="138"/>
        <v>6153</v>
      </c>
      <c r="I2471" t="str">
        <f t="shared" si="139"/>
        <v>Greater Perth</v>
      </c>
    </row>
    <row r="2472" spans="1:9" x14ac:dyDescent="0.2">
      <c r="A2472" s="704">
        <v>6154</v>
      </c>
      <c r="B2472" s="704">
        <v>6154</v>
      </c>
      <c r="C2472" s="704" t="s">
        <v>586</v>
      </c>
      <c r="D2472" s="704" t="s">
        <v>552</v>
      </c>
      <c r="E2472" s="704">
        <v>1</v>
      </c>
      <c r="F2472" s="704">
        <v>100</v>
      </c>
      <c r="H2472">
        <f t="shared" si="138"/>
        <v>6154</v>
      </c>
      <c r="I2472" t="str">
        <f t="shared" si="139"/>
        <v>Greater Perth</v>
      </c>
    </row>
    <row r="2473" spans="1:9" x14ac:dyDescent="0.2">
      <c r="A2473" s="704">
        <v>6155</v>
      </c>
      <c r="B2473" s="704">
        <v>6155</v>
      </c>
      <c r="C2473" s="704" t="s">
        <v>586</v>
      </c>
      <c r="D2473" s="704" t="s">
        <v>552</v>
      </c>
      <c r="E2473" s="704">
        <v>1</v>
      </c>
      <c r="F2473" s="704">
        <v>100</v>
      </c>
      <c r="H2473">
        <f t="shared" si="138"/>
        <v>6155</v>
      </c>
      <c r="I2473" t="str">
        <f t="shared" si="139"/>
        <v>Greater Perth</v>
      </c>
    </row>
    <row r="2474" spans="1:9" x14ac:dyDescent="0.2">
      <c r="A2474" s="704">
        <v>6156</v>
      </c>
      <c r="B2474" s="704">
        <v>6156</v>
      </c>
      <c r="C2474" s="704" t="s">
        <v>586</v>
      </c>
      <c r="D2474" s="704" t="s">
        <v>552</v>
      </c>
      <c r="E2474" s="704">
        <v>1</v>
      </c>
      <c r="F2474" s="704">
        <v>100</v>
      </c>
      <c r="H2474">
        <f t="shared" si="138"/>
        <v>6156</v>
      </c>
      <c r="I2474" t="str">
        <f t="shared" si="139"/>
        <v>Greater Perth</v>
      </c>
    </row>
    <row r="2475" spans="1:9" x14ac:dyDescent="0.2">
      <c r="A2475" s="704">
        <v>6157</v>
      </c>
      <c r="B2475" s="704">
        <v>6157</v>
      </c>
      <c r="C2475" s="704" t="s">
        <v>586</v>
      </c>
      <c r="D2475" s="704" t="s">
        <v>552</v>
      </c>
      <c r="E2475" s="704">
        <v>0.99352200000000002</v>
      </c>
      <c r="F2475" s="704">
        <v>99.352199999999996</v>
      </c>
      <c r="H2475">
        <f t="shared" si="138"/>
        <v>6157</v>
      </c>
      <c r="I2475" t="str">
        <f t="shared" si="139"/>
        <v>Greater Perth</v>
      </c>
    </row>
    <row r="2476" spans="1:9" x14ac:dyDescent="0.2">
      <c r="A2476" s="704">
        <v>6158</v>
      </c>
      <c r="B2476" s="704">
        <v>6158</v>
      </c>
      <c r="C2476" s="704" t="s">
        <v>586</v>
      </c>
      <c r="D2476" s="704" t="s">
        <v>552</v>
      </c>
      <c r="E2476" s="704">
        <v>1</v>
      </c>
      <c r="F2476" s="704">
        <v>100</v>
      </c>
      <c r="H2476">
        <f t="shared" si="138"/>
        <v>6158</v>
      </c>
      <c r="I2476" t="str">
        <f t="shared" si="139"/>
        <v>Greater Perth</v>
      </c>
    </row>
    <row r="2477" spans="1:9" x14ac:dyDescent="0.2">
      <c r="A2477" s="704">
        <v>6159</v>
      </c>
      <c r="B2477" s="704">
        <v>6159</v>
      </c>
      <c r="C2477" s="704" t="s">
        <v>586</v>
      </c>
      <c r="D2477" s="704" t="s">
        <v>552</v>
      </c>
      <c r="E2477" s="704">
        <v>0.97068900000000002</v>
      </c>
      <c r="F2477" s="704">
        <v>97.068899999999999</v>
      </c>
      <c r="H2477">
        <f t="shared" si="138"/>
        <v>6159</v>
      </c>
      <c r="I2477" t="str">
        <f t="shared" si="139"/>
        <v>Greater Perth</v>
      </c>
    </row>
    <row r="2478" spans="1:9" x14ac:dyDescent="0.2">
      <c r="A2478" s="704">
        <v>6160</v>
      </c>
      <c r="B2478" s="704">
        <v>6160</v>
      </c>
      <c r="C2478" s="704" t="s">
        <v>586</v>
      </c>
      <c r="D2478" s="704" t="s">
        <v>552</v>
      </c>
      <c r="E2478" s="704">
        <v>0.99967399999999995</v>
      </c>
      <c r="F2478" s="704">
        <v>99.967399999999998</v>
      </c>
      <c r="H2478">
        <f t="shared" si="138"/>
        <v>6160</v>
      </c>
      <c r="I2478" t="str">
        <f t="shared" si="139"/>
        <v>Greater Perth</v>
      </c>
    </row>
    <row r="2479" spans="1:9" x14ac:dyDescent="0.2">
      <c r="A2479" s="704">
        <v>6161</v>
      </c>
      <c r="B2479" s="704">
        <v>6161</v>
      </c>
      <c r="C2479" s="704" t="s">
        <v>586</v>
      </c>
      <c r="D2479" s="704" t="s">
        <v>552</v>
      </c>
      <c r="E2479" s="704">
        <v>1</v>
      </c>
      <c r="F2479" s="704">
        <v>100</v>
      </c>
      <c r="H2479">
        <f t="shared" si="138"/>
        <v>6161</v>
      </c>
      <c r="I2479" t="str">
        <f t="shared" si="139"/>
        <v>Greater Perth</v>
      </c>
    </row>
    <row r="2480" spans="1:9" x14ac:dyDescent="0.2">
      <c r="A2480" s="704">
        <v>6162</v>
      </c>
      <c r="B2480" s="704">
        <v>6162</v>
      </c>
      <c r="C2480" s="704" t="s">
        <v>586</v>
      </c>
      <c r="D2480" s="704" t="s">
        <v>552</v>
      </c>
      <c r="E2480" s="704">
        <v>1</v>
      </c>
      <c r="F2480" s="704">
        <v>100</v>
      </c>
      <c r="H2480">
        <f t="shared" si="138"/>
        <v>6162</v>
      </c>
      <c r="I2480" t="str">
        <f t="shared" si="139"/>
        <v>Greater Perth</v>
      </c>
    </row>
    <row r="2481" spans="1:9" x14ac:dyDescent="0.2">
      <c r="A2481" s="704">
        <v>6163</v>
      </c>
      <c r="B2481" s="704">
        <v>6163</v>
      </c>
      <c r="C2481" s="704" t="s">
        <v>586</v>
      </c>
      <c r="D2481" s="704" t="s">
        <v>552</v>
      </c>
      <c r="E2481" s="704">
        <v>1</v>
      </c>
      <c r="F2481" s="704">
        <v>100</v>
      </c>
      <c r="H2481">
        <f t="shared" si="138"/>
        <v>6163</v>
      </c>
      <c r="I2481" t="str">
        <f t="shared" si="139"/>
        <v>Greater Perth</v>
      </c>
    </row>
    <row r="2482" spans="1:9" x14ac:dyDescent="0.2">
      <c r="A2482" s="704">
        <v>6164</v>
      </c>
      <c r="B2482" s="704">
        <v>6164</v>
      </c>
      <c r="C2482" s="704" t="s">
        <v>586</v>
      </c>
      <c r="D2482" s="704" t="s">
        <v>552</v>
      </c>
      <c r="E2482" s="704">
        <v>1</v>
      </c>
      <c r="F2482" s="704">
        <v>100</v>
      </c>
      <c r="H2482">
        <f t="shared" si="138"/>
        <v>6164</v>
      </c>
      <c r="I2482" t="str">
        <f t="shared" si="139"/>
        <v>Greater Perth</v>
      </c>
    </row>
    <row r="2483" spans="1:9" x14ac:dyDescent="0.2">
      <c r="A2483" s="704">
        <v>6165</v>
      </c>
      <c r="B2483" s="704">
        <v>6165</v>
      </c>
      <c r="C2483" s="704" t="s">
        <v>586</v>
      </c>
      <c r="D2483" s="704" t="s">
        <v>552</v>
      </c>
      <c r="E2483" s="704">
        <v>1</v>
      </c>
      <c r="F2483" s="704">
        <v>100</v>
      </c>
      <c r="H2483">
        <f t="shared" si="138"/>
        <v>6165</v>
      </c>
      <c r="I2483" t="str">
        <f t="shared" si="139"/>
        <v>Greater Perth</v>
      </c>
    </row>
    <row r="2484" spans="1:9" x14ac:dyDescent="0.2">
      <c r="A2484" s="704">
        <v>6166</v>
      </c>
      <c r="B2484" s="704">
        <v>6166</v>
      </c>
      <c r="C2484" s="704" t="s">
        <v>586</v>
      </c>
      <c r="D2484" s="704" t="s">
        <v>552</v>
      </c>
      <c r="E2484" s="704">
        <v>0.99997999999999998</v>
      </c>
      <c r="F2484" s="704">
        <v>99.998000000000005</v>
      </c>
      <c r="H2484">
        <f t="shared" si="138"/>
        <v>6166</v>
      </c>
      <c r="I2484" t="str">
        <f t="shared" si="139"/>
        <v>Greater Perth</v>
      </c>
    </row>
    <row r="2485" spans="1:9" x14ac:dyDescent="0.2">
      <c r="A2485" s="704">
        <v>6167</v>
      </c>
      <c r="B2485" s="704">
        <v>6167</v>
      </c>
      <c r="C2485" s="704" t="s">
        <v>586</v>
      </c>
      <c r="D2485" s="704" t="s">
        <v>552</v>
      </c>
      <c r="E2485" s="704">
        <v>1</v>
      </c>
      <c r="F2485" s="704">
        <v>100</v>
      </c>
      <c r="H2485">
        <f t="shared" si="138"/>
        <v>6167</v>
      </c>
      <c r="I2485" t="str">
        <f t="shared" si="139"/>
        <v>Greater Perth</v>
      </c>
    </row>
    <row r="2486" spans="1:9" x14ac:dyDescent="0.2">
      <c r="A2486" s="704">
        <v>6168</v>
      </c>
      <c r="B2486" s="704">
        <v>6168</v>
      </c>
      <c r="C2486" s="704" t="s">
        <v>586</v>
      </c>
      <c r="D2486" s="704" t="s">
        <v>552</v>
      </c>
      <c r="E2486" s="704">
        <v>0.99941899999999995</v>
      </c>
      <c r="F2486" s="704">
        <v>99.941900000000004</v>
      </c>
      <c r="H2486">
        <f t="shared" si="138"/>
        <v>6168</v>
      </c>
      <c r="I2486" t="str">
        <f t="shared" si="139"/>
        <v>Greater Perth</v>
      </c>
    </row>
    <row r="2487" spans="1:9" x14ac:dyDescent="0.2">
      <c r="A2487" s="704">
        <v>6169</v>
      </c>
      <c r="B2487" s="704">
        <v>6169</v>
      </c>
      <c r="C2487" s="704" t="s">
        <v>586</v>
      </c>
      <c r="D2487" s="704" t="s">
        <v>552</v>
      </c>
      <c r="E2487" s="704">
        <v>0.99980199999999997</v>
      </c>
      <c r="F2487" s="704">
        <v>99.980199999999996</v>
      </c>
      <c r="H2487">
        <f t="shared" si="138"/>
        <v>6169</v>
      </c>
      <c r="I2487" t="str">
        <f t="shared" si="139"/>
        <v>Greater Perth</v>
      </c>
    </row>
    <row r="2488" spans="1:9" x14ac:dyDescent="0.2">
      <c r="A2488" s="704">
        <v>6170</v>
      </c>
      <c r="B2488" s="704">
        <v>6170</v>
      </c>
      <c r="C2488" s="704" t="s">
        <v>586</v>
      </c>
      <c r="D2488" s="704" t="s">
        <v>552</v>
      </c>
      <c r="E2488" s="704">
        <v>1</v>
      </c>
      <c r="F2488" s="704">
        <v>100</v>
      </c>
      <c r="H2488">
        <f t="shared" si="138"/>
        <v>6170</v>
      </c>
      <c r="I2488" t="str">
        <f t="shared" si="139"/>
        <v>Greater Perth</v>
      </c>
    </row>
    <row r="2489" spans="1:9" x14ac:dyDescent="0.2">
      <c r="A2489" s="704">
        <v>6171</v>
      </c>
      <c r="B2489" s="704">
        <v>6171</v>
      </c>
      <c r="C2489" s="704" t="s">
        <v>586</v>
      </c>
      <c r="D2489" s="704" t="s">
        <v>552</v>
      </c>
      <c r="E2489" s="704">
        <v>1</v>
      </c>
      <c r="F2489" s="704">
        <v>100</v>
      </c>
      <c r="H2489">
        <f t="shared" ref="H2489:H2552" si="140">A2489*1</f>
        <v>6171</v>
      </c>
      <c r="I2489" t="str">
        <f t="shared" ref="I2489:I2552" si="141">D2489</f>
        <v>Greater Perth</v>
      </c>
    </row>
    <row r="2490" spans="1:9" x14ac:dyDescent="0.2">
      <c r="A2490" s="704">
        <v>6172</v>
      </c>
      <c r="B2490" s="704">
        <v>6172</v>
      </c>
      <c r="C2490" s="704" t="s">
        <v>586</v>
      </c>
      <c r="D2490" s="704" t="s">
        <v>552</v>
      </c>
      <c r="E2490" s="704">
        <v>1</v>
      </c>
      <c r="F2490" s="704">
        <v>100</v>
      </c>
      <c r="H2490">
        <f t="shared" si="140"/>
        <v>6172</v>
      </c>
      <c r="I2490" t="str">
        <f t="shared" si="141"/>
        <v>Greater Perth</v>
      </c>
    </row>
    <row r="2491" spans="1:9" x14ac:dyDescent="0.2">
      <c r="A2491" s="704">
        <v>6173</v>
      </c>
      <c r="B2491" s="704">
        <v>6173</v>
      </c>
      <c r="C2491" s="704" t="s">
        <v>586</v>
      </c>
      <c r="D2491" s="704" t="s">
        <v>552</v>
      </c>
      <c r="E2491" s="704">
        <v>1</v>
      </c>
      <c r="F2491" s="704">
        <v>100</v>
      </c>
      <c r="H2491">
        <f t="shared" si="140"/>
        <v>6173</v>
      </c>
      <c r="I2491" t="str">
        <f t="shared" si="141"/>
        <v>Greater Perth</v>
      </c>
    </row>
    <row r="2492" spans="1:9" x14ac:dyDescent="0.2">
      <c r="A2492" s="704">
        <v>6174</v>
      </c>
      <c r="B2492" s="704">
        <v>6174</v>
      </c>
      <c r="C2492" s="704" t="s">
        <v>586</v>
      </c>
      <c r="D2492" s="704" t="s">
        <v>552</v>
      </c>
      <c r="E2492" s="704">
        <v>1</v>
      </c>
      <c r="F2492" s="704">
        <v>100</v>
      </c>
      <c r="H2492">
        <f t="shared" si="140"/>
        <v>6174</v>
      </c>
      <c r="I2492" t="str">
        <f t="shared" si="141"/>
        <v>Greater Perth</v>
      </c>
    </row>
    <row r="2493" spans="1:9" x14ac:dyDescent="0.2">
      <c r="A2493" s="704">
        <v>6175</v>
      </c>
      <c r="B2493" s="704">
        <v>6175</v>
      </c>
      <c r="C2493" s="704" t="s">
        <v>586</v>
      </c>
      <c r="D2493" s="704" t="s">
        <v>552</v>
      </c>
      <c r="E2493" s="704">
        <v>1</v>
      </c>
      <c r="F2493" s="704">
        <v>100</v>
      </c>
      <c r="H2493">
        <f t="shared" si="140"/>
        <v>6175</v>
      </c>
      <c r="I2493" t="str">
        <f t="shared" si="141"/>
        <v>Greater Perth</v>
      </c>
    </row>
    <row r="2494" spans="1:9" x14ac:dyDescent="0.2">
      <c r="A2494" s="704">
        <v>6176</v>
      </c>
      <c r="B2494" s="704">
        <v>6176</v>
      </c>
      <c r="C2494" s="704" t="s">
        <v>586</v>
      </c>
      <c r="D2494" s="704" t="s">
        <v>552</v>
      </c>
      <c r="E2494" s="704">
        <v>1</v>
      </c>
      <c r="F2494" s="704">
        <v>100</v>
      </c>
      <c r="H2494">
        <f t="shared" si="140"/>
        <v>6176</v>
      </c>
      <c r="I2494" t="str">
        <f t="shared" si="141"/>
        <v>Greater Perth</v>
      </c>
    </row>
    <row r="2495" spans="1:9" x14ac:dyDescent="0.2">
      <c r="A2495" s="704">
        <v>6180</v>
      </c>
      <c r="B2495" s="704">
        <v>6180</v>
      </c>
      <c r="C2495" s="704" t="s">
        <v>586</v>
      </c>
      <c r="D2495" s="704" t="s">
        <v>552</v>
      </c>
      <c r="E2495" s="704">
        <v>1</v>
      </c>
      <c r="F2495" s="704">
        <v>100</v>
      </c>
      <c r="H2495">
        <f t="shared" si="140"/>
        <v>6180</v>
      </c>
      <c r="I2495" t="str">
        <f t="shared" si="141"/>
        <v>Greater Perth</v>
      </c>
    </row>
    <row r="2496" spans="1:9" x14ac:dyDescent="0.2">
      <c r="A2496" s="704">
        <v>6181</v>
      </c>
      <c r="B2496" s="704">
        <v>6181</v>
      </c>
      <c r="C2496" s="704" t="s">
        <v>586</v>
      </c>
      <c r="D2496" s="704" t="s">
        <v>552</v>
      </c>
      <c r="E2496" s="704">
        <v>1</v>
      </c>
      <c r="F2496" s="704">
        <v>100</v>
      </c>
      <c r="H2496">
        <f t="shared" si="140"/>
        <v>6181</v>
      </c>
      <c r="I2496" t="str">
        <f t="shared" si="141"/>
        <v>Greater Perth</v>
      </c>
    </row>
    <row r="2497" spans="1:9" x14ac:dyDescent="0.2">
      <c r="A2497" s="704">
        <v>6182</v>
      </c>
      <c r="B2497" s="704">
        <v>6182</v>
      </c>
      <c r="C2497" s="704" t="s">
        <v>586</v>
      </c>
      <c r="D2497" s="704" t="s">
        <v>552</v>
      </c>
      <c r="E2497" s="704">
        <v>1</v>
      </c>
      <c r="F2497" s="704">
        <v>100</v>
      </c>
      <c r="H2497">
        <f t="shared" si="140"/>
        <v>6182</v>
      </c>
      <c r="I2497" t="str">
        <f t="shared" si="141"/>
        <v>Greater Perth</v>
      </c>
    </row>
    <row r="2498" spans="1:9" x14ac:dyDescent="0.2">
      <c r="A2498" s="704">
        <v>6207</v>
      </c>
      <c r="B2498" s="704">
        <v>6207</v>
      </c>
      <c r="C2498" s="704" t="s">
        <v>586</v>
      </c>
      <c r="D2498" s="704" t="s">
        <v>552</v>
      </c>
      <c r="E2498" s="704">
        <v>0.99058000000000002</v>
      </c>
      <c r="F2498" s="704">
        <v>99.058000000000007</v>
      </c>
      <c r="H2498">
        <f t="shared" si="140"/>
        <v>6207</v>
      </c>
      <c r="I2498" t="str">
        <f t="shared" si="141"/>
        <v>Greater Perth</v>
      </c>
    </row>
    <row r="2499" spans="1:9" x14ac:dyDescent="0.2">
      <c r="A2499" s="704">
        <v>6207</v>
      </c>
      <c r="B2499" s="704">
        <v>6207</v>
      </c>
      <c r="C2499" s="704" t="s">
        <v>565</v>
      </c>
      <c r="D2499" s="704" t="s">
        <v>521</v>
      </c>
      <c r="E2499" s="704">
        <v>9.4198000000000007E-3</v>
      </c>
      <c r="F2499" s="704">
        <v>0.94198199999999999</v>
      </c>
      <c r="H2499">
        <f t="shared" si="140"/>
        <v>6207</v>
      </c>
      <c r="I2499" t="str">
        <f t="shared" si="141"/>
        <v>Rest of WA</v>
      </c>
    </row>
    <row r="2500" spans="1:9" x14ac:dyDescent="0.2">
      <c r="A2500" s="704">
        <v>6208</v>
      </c>
      <c r="B2500" s="704">
        <v>6208</v>
      </c>
      <c r="C2500" s="704" t="s">
        <v>586</v>
      </c>
      <c r="D2500" s="704" t="s">
        <v>552</v>
      </c>
      <c r="E2500" s="704">
        <v>1</v>
      </c>
      <c r="F2500" s="704">
        <v>100</v>
      </c>
      <c r="H2500">
        <f t="shared" si="140"/>
        <v>6208</v>
      </c>
      <c r="I2500" t="str">
        <f t="shared" si="141"/>
        <v>Greater Perth</v>
      </c>
    </row>
    <row r="2501" spans="1:9" x14ac:dyDescent="0.2">
      <c r="A2501" s="704">
        <v>6209</v>
      </c>
      <c r="B2501" s="704">
        <v>6209</v>
      </c>
      <c r="C2501" s="704" t="s">
        <v>586</v>
      </c>
      <c r="D2501" s="704" t="s">
        <v>552</v>
      </c>
      <c r="E2501" s="704">
        <v>1</v>
      </c>
      <c r="F2501" s="704">
        <v>100</v>
      </c>
      <c r="H2501">
        <f t="shared" si="140"/>
        <v>6209</v>
      </c>
      <c r="I2501" t="str">
        <f t="shared" si="141"/>
        <v>Greater Perth</v>
      </c>
    </row>
    <row r="2502" spans="1:9" x14ac:dyDescent="0.2">
      <c r="A2502" s="704">
        <v>6210</v>
      </c>
      <c r="B2502" s="704">
        <v>6210</v>
      </c>
      <c r="C2502" s="704" t="s">
        <v>586</v>
      </c>
      <c r="D2502" s="704" t="s">
        <v>552</v>
      </c>
      <c r="E2502" s="704">
        <v>0.99972399999999995</v>
      </c>
      <c r="F2502" s="704">
        <v>99.972399999999993</v>
      </c>
      <c r="H2502">
        <f t="shared" si="140"/>
        <v>6210</v>
      </c>
      <c r="I2502" t="str">
        <f t="shared" si="141"/>
        <v>Greater Perth</v>
      </c>
    </row>
    <row r="2503" spans="1:9" x14ac:dyDescent="0.2">
      <c r="A2503" s="704">
        <v>6211</v>
      </c>
      <c r="B2503" s="704">
        <v>6211</v>
      </c>
      <c r="C2503" s="704" t="s">
        <v>586</v>
      </c>
      <c r="D2503" s="704" t="s">
        <v>552</v>
      </c>
      <c r="E2503" s="704">
        <v>0.99676900000000002</v>
      </c>
      <c r="F2503" s="704">
        <v>99.676900000000003</v>
      </c>
      <c r="H2503">
        <f t="shared" si="140"/>
        <v>6211</v>
      </c>
      <c r="I2503" t="str">
        <f t="shared" si="141"/>
        <v>Greater Perth</v>
      </c>
    </row>
    <row r="2504" spans="1:9" x14ac:dyDescent="0.2">
      <c r="A2504" s="704">
        <v>6213</v>
      </c>
      <c r="B2504" s="704">
        <v>6213</v>
      </c>
      <c r="C2504" s="704" t="s">
        <v>565</v>
      </c>
      <c r="D2504" s="704" t="s">
        <v>521</v>
      </c>
      <c r="E2504" s="704">
        <v>1</v>
      </c>
      <c r="F2504" s="704">
        <v>100</v>
      </c>
      <c r="H2504">
        <f t="shared" si="140"/>
        <v>6213</v>
      </c>
      <c r="I2504" t="str">
        <f t="shared" si="141"/>
        <v>Rest of WA</v>
      </c>
    </row>
    <row r="2505" spans="1:9" x14ac:dyDescent="0.2">
      <c r="A2505" s="704">
        <v>6214</v>
      </c>
      <c r="B2505" s="704">
        <v>6214</v>
      </c>
      <c r="C2505" s="704" t="s">
        <v>586</v>
      </c>
      <c r="D2505" s="704" t="s">
        <v>552</v>
      </c>
      <c r="E2505" s="704">
        <v>0.99746000000000001</v>
      </c>
      <c r="F2505" s="704">
        <v>99.745999999999995</v>
      </c>
      <c r="H2505">
        <f t="shared" si="140"/>
        <v>6214</v>
      </c>
      <c r="I2505" t="str">
        <f t="shared" si="141"/>
        <v>Greater Perth</v>
      </c>
    </row>
    <row r="2506" spans="1:9" x14ac:dyDescent="0.2">
      <c r="A2506" s="704">
        <v>6214</v>
      </c>
      <c r="B2506" s="704">
        <v>6214</v>
      </c>
      <c r="C2506" s="704" t="s">
        <v>565</v>
      </c>
      <c r="D2506" s="704" t="s">
        <v>521</v>
      </c>
      <c r="E2506" s="704">
        <v>2.5403000000000001E-3</v>
      </c>
      <c r="F2506" s="704">
        <v>0.25402599999999997</v>
      </c>
      <c r="H2506">
        <f t="shared" si="140"/>
        <v>6214</v>
      </c>
      <c r="I2506" t="str">
        <f t="shared" si="141"/>
        <v>Rest of WA</v>
      </c>
    </row>
    <row r="2507" spans="1:9" x14ac:dyDescent="0.2">
      <c r="A2507" s="704">
        <v>6215</v>
      </c>
      <c r="B2507" s="704">
        <v>6215</v>
      </c>
      <c r="C2507" s="704" t="s">
        <v>565</v>
      </c>
      <c r="D2507" s="704" t="s">
        <v>521</v>
      </c>
      <c r="E2507" s="704">
        <v>1</v>
      </c>
      <c r="F2507" s="704">
        <v>100</v>
      </c>
      <c r="H2507">
        <f t="shared" si="140"/>
        <v>6215</v>
      </c>
      <c r="I2507" t="str">
        <f t="shared" si="141"/>
        <v>Rest of WA</v>
      </c>
    </row>
    <row r="2508" spans="1:9" x14ac:dyDescent="0.2">
      <c r="A2508" s="704">
        <v>6218</v>
      </c>
      <c r="B2508" s="704">
        <v>6218</v>
      </c>
      <c r="C2508" s="704" t="s">
        <v>565</v>
      </c>
      <c r="D2508" s="704" t="s">
        <v>521</v>
      </c>
      <c r="E2508" s="704">
        <v>1</v>
      </c>
      <c r="F2508" s="704">
        <v>100</v>
      </c>
      <c r="H2508">
        <f t="shared" si="140"/>
        <v>6218</v>
      </c>
      <c r="I2508" t="str">
        <f t="shared" si="141"/>
        <v>Rest of WA</v>
      </c>
    </row>
    <row r="2509" spans="1:9" x14ac:dyDescent="0.2">
      <c r="A2509" s="704">
        <v>6220</v>
      </c>
      <c r="B2509" s="704">
        <v>6220</v>
      </c>
      <c r="C2509" s="704" t="s">
        <v>565</v>
      </c>
      <c r="D2509" s="704" t="s">
        <v>521</v>
      </c>
      <c r="E2509" s="704">
        <v>1</v>
      </c>
      <c r="F2509" s="704">
        <v>100</v>
      </c>
      <c r="H2509">
        <f t="shared" si="140"/>
        <v>6220</v>
      </c>
      <c r="I2509" t="str">
        <f t="shared" si="141"/>
        <v>Rest of WA</v>
      </c>
    </row>
    <row r="2510" spans="1:9" x14ac:dyDescent="0.2">
      <c r="A2510" s="704">
        <v>6221</v>
      </c>
      <c r="B2510" s="704">
        <v>6221</v>
      </c>
      <c r="C2510" s="704" t="s">
        <v>565</v>
      </c>
      <c r="D2510" s="704" t="s">
        <v>521</v>
      </c>
      <c r="E2510" s="704">
        <v>1</v>
      </c>
      <c r="F2510" s="704">
        <v>100</v>
      </c>
      <c r="H2510">
        <f t="shared" si="140"/>
        <v>6221</v>
      </c>
      <c r="I2510" t="str">
        <f t="shared" si="141"/>
        <v>Rest of WA</v>
      </c>
    </row>
    <row r="2511" spans="1:9" x14ac:dyDescent="0.2">
      <c r="A2511" s="704">
        <v>6223</v>
      </c>
      <c r="B2511" s="704">
        <v>6223</v>
      </c>
      <c r="C2511" s="704" t="s">
        <v>565</v>
      </c>
      <c r="D2511" s="704" t="s">
        <v>521</v>
      </c>
      <c r="E2511" s="704">
        <v>1</v>
      </c>
      <c r="F2511" s="704">
        <v>100</v>
      </c>
      <c r="H2511">
        <f t="shared" si="140"/>
        <v>6223</v>
      </c>
      <c r="I2511" t="str">
        <f t="shared" si="141"/>
        <v>Rest of WA</v>
      </c>
    </row>
    <row r="2512" spans="1:9" x14ac:dyDescent="0.2">
      <c r="A2512" s="704">
        <v>6224</v>
      </c>
      <c r="B2512" s="704">
        <v>6224</v>
      </c>
      <c r="C2512" s="704" t="s">
        <v>565</v>
      </c>
      <c r="D2512" s="704" t="s">
        <v>521</v>
      </c>
      <c r="E2512" s="704">
        <v>1</v>
      </c>
      <c r="F2512" s="704">
        <v>100</v>
      </c>
      <c r="H2512">
        <f t="shared" si="140"/>
        <v>6224</v>
      </c>
      <c r="I2512" t="str">
        <f t="shared" si="141"/>
        <v>Rest of WA</v>
      </c>
    </row>
    <row r="2513" spans="1:9" x14ac:dyDescent="0.2">
      <c r="A2513" s="704">
        <v>6225</v>
      </c>
      <c r="B2513" s="704">
        <v>6225</v>
      </c>
      <c r="C2513" s="704" t="s">
        <v>565</v>
      </c>
      <c r="D2513" s="704" t="s">
        <v>521</v>
      </c>
      <c r="E2513" s="704">
        <v>1</v>
      </c>
      <c r="F2513" s="704">
        <v>100</v>
      </c>
      <c r="H2513">
        <f t="shared" si="140"/>
        <v>6225</v>
      </c>
      <c r="I2513" t="str">
        <f t="shared" si="141"/>
        <v>Rest of WA</v>
      </c>
    </row>
    <row r="2514" spans="1:9" x14ac:dyDescent="0.2">
      <c r="A2514" s="704">
        <v>6226</v>
      </c>
      <c r="B2514" s="704">
        <v>6226</v>
      </c>
      <c r="C2514" s="704" t="s">
        <v>565</v>
      </c>
      <c r="D2514" s="704" t="s">
        <v>521</v>
      </c>
      <c r="E2514" s="704">
        <v>1</v>
      </c>
      <c r="F2514" s="704">
        <v>100</v>
      </c>
      <c r="H2514">
        <f t="shared" si="140"/>
        <v>6226</v>
      </c>
      <c r="I2514" t="str">
        <f t="shared" si="141"/>
        <v>Rest of WA</v>
      </c>
    </row>
    <row r="2515" spans="1:9" x14ac:dyDescent="0.2">
      <c r="A2515" s="704">
        <v>6227</v>
      </c>
      <c r="B2515" s="704">
        <v>6227</v>
      </c>
      <c r="C2515" s="704" t="s">
        <v>565</v>
      </c>
      <c r="D2515" s="704" t="s">
        <v>521</v>
      </c>
      <c r="E2515" s="704">
        <v>1</v>
      </c>
      <c r="F2515" s="704">
        <v>100</v>
      </c>
      <c r="H2515">
        <f t="shared" si="140"/>
        <v>6227</v>
      </c>
      <c r="I2515" t="str">
        <f t="shared" si="141"/>
        <v>Rest of WA</v>
      </c>
    </row>
    <row r="2516" spans="1:9" x14ac:dyDescent="0.2">
      <c r="A2516" s="704">
        <v>6228</v>
      </c>
      <c r="B2516" s="704">
        <v>6228</v>
      </c>
      <c r="C2516" s="704" t="s">
        <v>565</v>
      </c>
      <c r="D2516" s="704" t="s">
        <v>521</v>
      </c>
      <c r="E2516" s="704">
        <v>1</v>
      </c>
      <c r="F2516" s="704">
        <v>100</v>
      </c>
      <c r="H2516">
        <f t="shared" si="140"/>
        <v>6228</v>
      </c>
      <c r="I2516" t="str">
        <f t="shared" si="141"/>
        <v>Rest of WA</v>
      </c>
    </row>
    <row r="2517" spans="1:9" x14ac:dyDescent="0.2">
      <c r="A2517" s="704">
        <v>6229</v>
      </c>
      <c r="B2517" s="704">
        <v>6229</v>
      </c>
      <c r="C2517" s="704" t="s">
        <v>565</v>
      </c>
      <c r="D2517" s="704" t="s">
        <v>521</v>
      </c>
      <c r="E2517" s="704">
        <v>1</v>
      </c>
      <c r="F2517" s="704">
        <v>100</v>
      </c>
      <c r="H2517">
        <f t="shared" si="140"/>
        <v>6229</v>
      </c>
      <c r="I2517" t="str">
        <f t="shared" si="141"/>
        <v>Rest of WA</v>
      </c>
    </row>
    <row r="2518" spans="1:9" x14ac:dyDescent="0.2">
      <c r="A2518" s="704">
        <v>6230</v>
      </c>
      <c r="B2518" s="704">
        <v>6230</v>
      </c>
      <c r="C2518" s="704" t="s">
        <v>565</v>
      </c>
      <c r="D2518" s="704" t="s">
        <v>521</v>
      </c>
      <c r="E2518" s="704">
        <v>1</v>
      </c>
      <c r="F2518" s="704">
        <v>100</v>
      </c>
      <c r="H2518">
        <f t="shared" si="140"/>
        <v>6230</v>
      </c>
      <c r="I2518" t="str">
        <f t="shared" si="141"/>
        <v>Rest of WA</v>
      </c>
    </row>
    <row r="2519" spans="1:9" x14ac:dyDescent="0.2">
      <c r="A2519" s="704">
        <v>6232</v>
      </c>
      <c r="B2519" s="704">
        <v>6232</v>
      </c>
      <c r="C2519" s="704" t="s">
        <v>565</v>
      </c>
      <c r="D2519" s="704" t="s">
        <v>521</v>
      </c>
      <c r="E2519" s="704">
        <v>1</v>
      </c>
      <c r="F2519" s="704">
        <v>100</v>
      </c>
      <c r="H2519">
        <f t="shared" si="140"/>
        <v>6232</v>
      </c>
      <c r="I2519" t="str">
        <f t="shared" si="141"/>
        <v>Rest of WA</v>
      </c>
    </row>
    <row r="2520" spans="1:9" x14ac:dyDescent="0.2">
      <c r="A2520" s="704">
        <v>6233</v>
      </c>
      <c r="B2520" s="704">
        <v>6233</v>
      </c>
      <c r="C2520" s="704" t="s">
        <v>565</v>
      </c>
      <c r="D2520" s="704" t="s">
        <v>521</v>
      </c>
      <c r="E2520" s="704">
        <v>1</v>
      </c>
      <c r="F2520" s="704">
        <v>100</v>
      </c>
      <c r="H2520">
        <f t="shared" si="140"/>
        <v>6233</v>
      </c>
      <c r="I2520" t="str">
        <f t="shared" si="141"/>
        <v>Rest of WA</v>
      </c>
    </row>
    <row r="2521" spans="1:9" x14ac:dyDescent="0.2">
      <c r="A2521" s="704">
        <v>6236</v>
      </c>
      <c r="B2521" s="704">
        <v>6236</v>
      </c>
      <c r="C2521" s="704" t="s">
        <v>565</v>
      </c>
      <c r="D2521" s="704" t="s">
        <v>521</v>
      </c>
      <c r="E2521" s="704">
        <v>1</v>
      </c>
      <c r="F2521" s="704">
        <v>100</v>
      </c>
      <c r="H2521">
        <f t="shared" si="140"/>
        <v>6236</v>
      </c>
      <c r="I2521" t="str">
        <f t="shared" si="141"/>
        <v>Rest of WA</v>
      </c>
    </row>
    <row r="2522" spans="1:9" x14ac:dyDescent="0.2">
      <c r="A2522" s="704">
        <v>6237</v>
      </c>
      <c r="B2522" s="704">
        <v>6237</v>
      </c>
      <c r="C2522" s="704" t="s">
        <v>565</v>
      </c>
      <c r="D2522" s="704" t="s">
        <v>521</v>
      </c>
      <c r="E2522" s="704">
        <v>1</v>
      </c>
      <c r="F2522" s="704">
        <v>100</v>
      </c>
      <c r="H2522">
        <f t="shared" si="140"/>
        <v>6237</v>
      </c>
      <c r="I2522" t="str">
        <f t="shared" si="141"/>
        <v>Rest of WA</v>
      </c>
    </row>
    <row r="2523" spans="1:9" x14ac:dyDescent="0.2">
      <c r="A2523" s="704">
        <v>6239</v>
      </c>
      <c r="B2523" s="704">
        <v>6239</v>
      </c>
      <c r="C2523" s="704" t="s">
        <v>565</v>
      </c>
      <c r="D2523" s="704" t="s">
        <v>521</v>
      </c>
      <c r="E2523" s="704">
        <v>1</v>
      </c>
      <c r="F2523" s="704">
        <v>100</v>
      </c>
      <c r="H2523">
        <f t="shared" si="140"/>
        <v>6239</v>
      </c>
      <c r="I2523" t="str">
        <f t="shared" si="141"/>
        <v>Rest of WA</v>
      </c>
    </row>
    <row r="2524" spans="1:9" x14ac:dyDescent="0.2">
      <c r="A2524" s="704">
        <v>6240</v>
      </c>
      <c r="B2524" s="704">
        <v>6240</v>
      </c>
      <c r="C2524" s="704" t="s">
        <v>565</v>
      </c>
      <c r="D2524" s="704" t="s">
        <v>521</v>
      </c>
      <c r="E2524" s="704">
        <v>1</v>
      </c>
      <c r="F2524" s="704">
        <v>100</v>
      </c>
      <c r="H2524">
        <f t="shared" si="140"/>
        <v>6240</v>
      </c>
      <c r="I2524" t="str">
        <f t="shared" si="141"/>
        <v>Rest of WA</v>
      </c>
    </row>
    <row r="2525" spans="1:9" x14ac:dyDescent="0.2">
      <c r="A2525" s="704">
        <v>6243</v>
      </c>
      <c r="B2525" s="704">
        <v>6243</v>
      </c>
      <c r="C2525" s="704" t="s">
        <v>565</v>
      </c>
      <c r="D2525" s="704" t="s">
        <v>521</v>
      </c>
      <c r="E2525" s="704">
        <v>1</v>
      </c>
      <c r="F2525" s="704">
        <v>100</v>
      </c>
      <c r="H2525">
        <f t="shared" si="140"/>
        <v>6243</v>
      </c>
      <c r="I2525" t="str">
        <f t="shared" si="141"/>
        <v>Rest of WA</v>
      </c>
    </row>
    <row r="2526" spans="1:9" x14ac:dyDescent="0.2">
      <c r="A2526" s="704">
        <v>6244</v>
      </c>
      <c r="B2526" s="704">
        <v>6244</v>
      </c>
      <c r="C2526" s="704" t="s">
        <v>565</v>
      </c>
      <c r="D2526" s="704" t="s">
        <v>521</v>
      </c>
      <c r="E2526" s="704">
        <v>1</v>
      </c>
      <c r="F2526" s="704">
        <v>100</v>
      </c>
      <c r="H2526">
        <f t="shared" si="140"/>
        <v>6244</v>
      </c>
      <c r="I2526" t="str">
        <f t="shared" si="141"/>
        <v>Rest of WA</v>
      </c>
    </row>
    <row r="2527" spans="1:9" x14ac:dyDescent="0.2">
      <c r="A2527" s="704">
        <v>6251</v>
      </c>
      <c r="B2527" s="704">
        <v>6251</v>
      </c>
      <c r="C2527" s="704" t="s">
        <v>565</v>
      </c>
      <c r="D2527" s="704" t="s">
        <v>521</v>
      </c>
      <c r="E2527" s="704">
        <v>1</v>
      </c>
      <c r="F2527" s="704">
        <v>100</v>
      </c>
      <c r="H2527">
        <f t="shared" si="140"/>
        <v>6251</v>
      </c>
      <c r="I2527" t="str">
        <f t="shared" si="141"/>
        <v>Rest of WA</v>
      </c>
    </row>
    <row r="2528" spans="1:9" x14ac:dyDescent="0.2">
      <c r="A2528" s="704">
        <v>6252</v>
      </c>
      <c r="B2528" s="704">
        <v>6252</v>
      </c>
      <c r="C2528" s="704" t="s">
        <v>565</v>
      </c>
      <c r="D2528" s="704" t="s">
        <v>521</v>
      </c>
      <c r="E2528" s="704">
        <v>1</v>
      </c>
      <c r="F2528" s="704">
        <v>100</v>
      </c>
      <c r="H2528">
        <f t="shared" si="140"/>
        <v>6252</v>
      </c>
      <c r="I2528" t="str">
        <f t="shared" si="141"/>
        <v>Rest of WA</v>
      </c>
    </row>
    <row r="2529" spans="1:9" x14ac:dyDescent="0.2">
      <c r="A2529" s="704">
        <v>6253</v>
      </c>
      <c r="B2529" s="704">
        <v>6253</v>
      </c>
      <c r="C2529" s="704" t="s">
        <v>565</v>
      </c>
      <c r="D2529" s="704" t="s">
        <v>521</v>
      </c>
      <c r="E2529" s="704">
        <v>1</v>
      </c>
      <c r="F2529" s="704">
        <v>100</v>
      </c>
      <c r="H2529">
        <f t="shared" si="140"/>
        <v>6253</v>
      </c>
      <c r="I2529" t="str">
        <f t="shared" si="141"/>
        <v>Rest of WA</v>
      </c>
    </row>
    <row r="2530" spans="1:9" x14ac:dyDescent="0.2">
      <c r="A2530" s="704">
        <v>6254</v>
      </c>
      <c r="B2530" s="704">
        <v>6254</v>
      </c>
      <c r="C2530" s="704" t="s">
        <v>565</v>
      </c>
      <c r="D2530" s="704" t="s">
        <v>521</v>
      </c>
      <c r="E2530" s="704">
        <v>1</v>
      </c>
      <c r="F2530" s="704">
        <v>100</v>
      </c>
      <c r="H2530">
        <f t="shared" si="140"/>
        <v>6254</v>
      </c>
      <c r="I2530" t="str">
        <f t="shared" si="141"/>
        <v>Rest of WA</v>
      </c>
    </row>
    <row r="2531" spans="1:9" x14ac:dyDescent="0.2">
      <c r="A2531" s="704">
        <v>6255</v>
      </c>
      <c r="B2531" s="704">
        <v>6255</v>
      </c>
      <c r="C2531" s="704" t="s">
        <v>565</v>
      </c>
      <c r="D2531" s="704" t="s">
        <v>521</v>
      </c>
      <c r="E2531" s="704">
        <v>1</v>
      </c>
      <c r="F2531" s="704">
        <v>100</v>
      </c>
      <c r="H2531">
        <f t="shared" si="140"/>
        <v>6255</v>
      </c>
      <c r="I2531" t="str">
        <f t="shared" si="141"/>
        <v>Rest of WA</v>
      </c>
    </row>
    <row r="2532" spans="1:9" x14ac:dyDescent="0.2">
      <c r="A2532" s="704">
        <v>6256</v>
      </c>
      <c r="B2532" s="704">
        <v>6256</v>
      </c>
      <c r="C2532" s="704" t="s">
        <v>565</v>
      </c>
      <c r="D2532" s="704" t="s">
        <v>521</v>
      </c>
      <c r="E2532" s="704">
        <v>1</v>
      </c>
      <c r="F2532" s="704">
        <v>100</v>
      </c>
      <c r="H2532">
        <f t="shared" si="140"/>
        <v>6256</v>
      </c>
      <c r="I2532" t="str">
        <f t="shared" si="141"/>
        <v>Rest of WA</v>
      </c>
    </row>
    <row r="2533" spans="1:9" x14ac:dyDescent="0.2">
      <c r="A2533" s="704">
        <v>6258</v>
      </c>
      <c r="B2533" s="704">
        <v>6258</v>
      </c>
      <c r="C2533" s="704" t="s">
        <v>565</v>
      </c>
      <c r="D2533" s="704" t="s">
        <v>521</v>
      </c>
      <c r="E2533" s="704">
        <v>1</v>
      </c>
      <c r="F2533" s="704">
        <v>100</v>
      </c>
      <c r="H2533">
        <f t="shared" si="140"/>
        <v>6258</v>
      </c>
      <c r="I2533" t="str">
        <f t="shared" si="141"/>
        <v>Rest of WA</v>
      </c>
    </row>
    <row r="2534" spans="1:9" x14ac:dyDescent="0.2">
      <c r="A2534" s="704">
        <v>6260</v>
      </c>
      <c r="B2534" s="704">
        <v>6260</v>
      </c>
      <c r="C2534" s="704" t="s">
        <v>565</v>
      </c>
      <c r="D2534" s="704" t="s">
        <v>521</v>
      </c>
      <c r="E2534" s="704">
        <v>1</v>
      </c>
      <c r="F2534" s="704">
        <v>100</v>
      </c>
      <c r="H2534">
        <f t="shared" si="140"/>
        <v>6260</v>
      </c>
      <c r="I2534" t="str">
        <f t="shared" si="141"/>
        <v>Rest of WA</v>
      </c>
    </row>
    <row r="2535" spans="1:9" x14ac:dyDescent="0.2">
      <c r="A2535" s="704">
        <v>6262</v>
      </c>
      <c r="B2535" s="704">
        <v>6262</v>
      </c>
      <c r="C2535" s="704" t="s">
        <v>565</v>
      </c>
      <c r="D2535" s="704" t="s">
        <v>521</v>
      </c>
      <c r="E2535" s="704">
        <v>1</v>
      </c>
      <c r="F2535" s="704">
        <v>100</v>
      </c>
      <c r="H2535">
        <f t="shared" si="140"/>
        <v>6262</v>
      </c>
      <c r="I2535" t="str">
        <f t="shared" si="141"/>
        <v>Rest of WA</v>
      </c>
    </row>
    <row r="2536" spans="1:9" x14ac:dyDescent="0.2">
      <c r="A2536" s="704">
        <v>6271</v>
      </c>
      <c r="B2536" s="704">
        <v>6271</v>
      </c>
      <c r="C2536" s="704" t="s">
        <v>565</v>
      </c>
      <c r="D2536" s="704" t="s">
        <v>521</v>
      </c>
      <c r="E2536" s="704">
        <v>1</v>
      </c>
      <c r="F2536" s="704">
        <v>100</v>
      </c>
      <c r="H2536">
        <f t="shared" si="140"/>
        <v>6271</v>
      </c>
      <c r="I2536" t="str">
        <f t="shared" si="141"/>
        <v>Rest of WA</v>
      </c>
    </row>
    <row r="2537" spans="1:9" x14ac:dyDescent="0.2">
      <c r="A2537" s="704">
        <v>6275</v>
      </c>
      <c r="B2537" s="704">
        <v>6275</v>
      </c>
      <c r="C2537" s="704" t="s">
        <v>565</v>
      </c>
      <c r="D2537" s="704" t="s">
        <v>521</v>
      </c>
      <c r="E2537" s="704">
        <v>1</v>
      </c>
      <c r="F2537" s="704">
        <v>100</v>
      </c>
      <c r="H2537">
        <f t="shared" si="140"/>
        <v>6275</v>
      </c>
      <c r="I2537" t="str">
        <f t="shared" si="141"/>
        <v>Rest of WA</v>
      </c>
    </row>
    <row r="2538" spans="1:9" x14ac:dyDescent="0.2">
      <c r="A2538" s="704">
        <v>6280</v>
      </c>
      <c r="B2538" s="704">
        <v>6280</v>
      </c>
      <c r="C2538" s="704" t="s">
        <v>565</v>
      </c>
      <c r="D2538" s="704" t="s">
        <v>521</v>
      </c>
      <c r="E2538" s="704">
        <v>0.99952300000000005</v>
      </c>
      <c r="F2538" s="704">
        <v>99.952299999999994</v>
      </c>
      <c r="H2538">
        <f t="shared" si="140"/>
        <v>6280</v>
      </c>
      <c r="I2538" t="str">
        <f t="shared" si="141"/>
        <v>Rest of WA</v>
      </c>
    </row>
    <row r="2539" spans="1:9" x14ac:dyDescent="0.2">
      <c r="A2539" s="704">
        <v>6281</v>
      </c>
      <c r="B2539" s="704">
        <v>6281</v>
      </c>
      <c r="C2539" s="704" t="s">
        <v>565</v>
      </c>
      <c r="D2539" s="704" t="s">
        <v>521</v>
      </c>
      <c r="E2539" s="704">
        <v>0.99815799999999999</v>
      </c>
      <c r="F2539" s="704">
        <v>99.815799999999996</v>
      </c>
      <c r="H2539">
        <f t="shared" si="140"/>
        <v>6281</v>
      </c>
      <c r="I2539" t="str">
        <f t="shared" si="141"/>
        <v>Rest of WA</v>
      </c>
    </row>
    <row r="2540" spans="1:9" x14ac:dyDescent="0.2">
      <c r="A2540" s="704">
        <v>6282</v>
      </c>
      <c r="B2540" s="704">
        <v>6282</v>
      </c>
      <c r="C2540" s="704" t="s">
        <v>565</v>
      </c>
      <c r="D2540" s="704" t="s">
        <v>521</v>
      </c>
      <c r="E2540" s="704">
        <v>0.99999499999999997</v>
      </c>
      <c r="F2540" s="704">
        <v>99.999499999999998</v>
      </c>
      <c r="H2540">
        <f t="shared" si="140"/>
        <v>6282</v>
      </c>
      <c r="I2540" t="str">
        <f t="shared" si="141"/>
        <v>Rest of WA</v>
      </c>
    </row>
    <row r="2541" spans="1:9" x14ac:dyDescent="0.2">
      <c r="A2541" s="704">
        <v>6284</v>
      </c>
      <c r="B2541" s="704">
        <v>6284</v>
      </c>
      <c r="C2541" s="704" t="s">
        <v>565</v>
      </c>
      <c r="D2541" s="704" t="s">
        <v>521</v>
      </c>
      <c r="E2541" s="704">
        <v>1</v>
      </c>
      <c r="F2541" s="704">
        <v>100</v>
      </c>
      <c r="H2541">
        <f t="shared" si="140"/>
        <v>6284</v>
      </c>
      <c r="I2541" t="str">
        <f t="shared" si="141"/>
        <v>Rest of WA</v>
      </c>
    </row>
    <row r="2542" spans="1:9" x14ac:dyDescent="0.2">
      <c r="A2542" s="704">
        <v>6285</v>
      </c>
      <c r="B2542" s="704">
        <v>6285</v>
      </c>
      <c r="C2542" s="704" t="s">
        <v>565</v>
      </c>
      <c r="D2542" s="704" t="s">
        <v>521</v>
      </c>
      <c r="E2542" s="704">
        <v>1</v>
      </c>
      <c r="F2542" s="704">
        <v>100</v>
      </c>
      <c r="H2542">
        <f t="shared" si="140"/>
        <v>6285</v>
      </c>
      <c r="I2542" t="str">
        <f t="shared" si="141"/>
        <v>Rest of WA</v>
      </c>
    </row>
    <row r="2543" spans="1:9" x14ac:dyDescent="0.2">
      <c r="A2543" s="704">
        <v>6286</v>
      </c>
      <c r="B2543" s="704">
        <v>6286</v>
      </c>
      <c r="C2543" s="704" t="s">
        <v>565</v>
      </c>
      <c r="D2543" s="704" t="s">
        <v>521</v>
      </c>
      <c r="E2543" s="704">
        <v>0.99970499999999995</v>
      </c>
      <c r="F2543" s="704">
        <v>99.970399999999998</v>
      </c>
      <c r="H2543">
        <f t="shared" si="140"/>
        <v>6286</v>
      </c>
      <c r="I2543" t="str">
        <f t="shared" si="141"/>
        <v>Rest of WA</v>
      </c>
    </row>
    <row r="2544" spans="1:9" x14ac:dyDescent="0.2">
      <c r="A2544" s="704">
        <v>6288</v>
      </c>
      <c r="B2544" s="704">
        <v>6288</v>
      </c>
      <c r="C2544" s="704" t="s">
        <v>565</v>
      </c>
      <c r="D2544" s="704" t="s">
        <v>521</v>
      </c>
      <c r="E2544" s="704">
        <v>0.99999800000000005</v>
      </c>
      <c r="F2544" s="704">
        <v>99.999799999999993</v>
      </c>
      <c r="H2544">
        <f t="shared" si="140"/>
        <v>6288</v>
      </c>
      <c r="I2544" t="str">
        <f t="shared" si="141"/>
        <v>Rest of WA</v>
      </c>
    </row>
    <row r="2545" spans="1:9" x14ac:dyDescent="0.2">
      <c r="A2545" s="704">
        <v>6290</v>
      </c>
      <c r="B2545" s="704">
        <v>6290</v>
      </c>
      <c r="C2545" s="704" t="s">
        <v>565</v>
      </c>
      <c r="D2545" s="704" t="s">
        <v>521</v>
      </c>
      <c r="E2545" s="704">
        <v>0.99072499999999997</v>
      </c>
      <c r="F2545" s="704">
        <v>99.072500000000005</v>
      </c>
      <c r="H2545">
        <f t="shared" si="140"/>
        <v>6290</v>
      </c>
      <c r="I2545" t="str">
        <f t="shared" si="141"/>
        <v>Rest of WA</v>
      </c>
    </row>
    <row r="2546" spans="1:9" x14ac:dyDescent="0.2">
      <c r="A2546" s="704">
        <v>6302</v>
      </c>
      <c r="B2546" s="704">
        <v>6302</v>
      </c>
      <c r="C2546" s="704" t="s">
        <v>565</v>
      </c>
      <c r="D2546" s="704" t="s">
        <v>521</v>
      </c>
      <c r="E2546" s="704">
        <v>1</v>
      </c>
      <c r="F2546" s="704">
        <v>100</v>
      </c>
      <c r="H2546">
        <f t="shared" si="140"/>
        <v>6302</v>
      </c>
      <c r="I2546" t="str">
        <f t="shared" si="141"/>
        <v>Rest of WA</v>
      </c>
    </row>
    <row r="2547" spans="1:9" x14ac:dyDescent="0.2">
      <c r="A2547" s="704">
        <v>6304</v>
      </c>
      <c r="B2547" s="704">
        <v>6304</v>
      </c>
      <c r="C2547" s="704" t="s">
        <v>565</v>
      </c>
      <c r="D2547" s="704" t="s">
        <v>521</v>
      </c>
      <c r="E2547" s="704">
        <v>1</v>
      </c>
      <c r="F2547" s="704">
        <v>100</v>
      </c>
      <c r="H2547">
        <f t="shared" si="140"/>
        <v>6304</v>
      </c>
      <c r="I2547" t="str">
        <f t="shared" si="141"/>
        <v>Rest of WA</v>
      </c>
    </row>
    <row r="2548" spans="1:9" x14ac:dyDescent="0.2">
      <c r="A2548" s="704">
        <v>6306</v>
      </c>
      <c r="B2548" s="704">
        <v>6306</v>
      </c>
      <c r="C2548" s="704" t="s">
        <v>565</v>
      </c>
      <c r="D2548" s="704" t="s">
        <v>521</v>
      </c>
      <c r="E2548" s="704">
        <v>1</v>
      </c>
      <c r="F2548" s="704">
        <v>100</v>
      </c>
      <c r="H2548">
        <f t="shared" si="140"/>
        <v>6306</v>
      </c>
      <c r="I2548" t="str">
        <f t="shared" si="141"/>
        <v>Rest of WA</v>
      </c>
    </row>
    <row r="2549" spans="1:9" x14ac:dyDescent="0.2">
      <c r="A2549" s="704">
        <v>6308</v>
      </c>
      <c r="B2549" s="704">
        <v>6308</v>
      </c>
      <c r="C2549" s="704" t="s">
        <v>565</v>
      </c>
      <c r="D2549" s="704" t="s">
        <v>521</v>
      </c>
      <c r="E2549" s="704">
        <v>1</v>
      </c>
      <c r="F2549" s="704">
        <v>100</v>
      </c>
      <c r="H2549">
        <f t="shared" si="140"/>
        <v>6308</v>
      </c>
      <c r="I2549" t="str">
        <f t="shared" si="141"/>
        <v>Rest of WA</v>
      </c>
    </row>
    <row r="2550" spans="1:9" x14ac:dyDescent="0.2">
      <c r="A2550" s="704">
        <v>6309</v>
      </c>
      <c r="B2550" s="704">
        <v>6309</v>
      </c>
      <c r="C2550" s="704" t="s">
        <v>565</v>
      </c>
      <c r="D2550" s="704" t="s">
        <v>521</v>
      </c>
      <c r="E2550" s="704">
        <v>1</v>
      </c>
      <c r="F2550" s="704">
        <v>100</v>
      </c>
      <c r="H2550">
        <f t="shared" si="140"/>
        <v>6309</v>
      </c>
      <c r="I2550" t="str">
        <f t="shared" si="141"/>
        <v>Rest of WA</v>
      </c>
    </row>
    <row r="2551" spans="1:9" x14ac:dyDescent="0.2">
      <c r="A2551" s="704">
        <v>6311</v>
      </c>
      <c r="B2551" s="704">
        <v>6311</v>
      </c>
      <c r="C2551" s="704" t="s">
        <v>565</v>
      </c>
      <c r="D2551" s="704" t="s">
        <v>521</v>
      </c>
      <c r="E2551" s="704">
        <v>1</v>
      </c>
      <c r="F2551" s="704">
        <v>100</v>
      </c>
      <c r="H2551">
        <f t="shared" si="140"/>
        <v>6311</v>
      </c>
      <c r="I2551" t="str">
        <f t="shared" si="141"/>
        <v>Rest of WA</v>
      </c>
    </row>
    <row r="2552" spans="1:9" x14ac:dyDescent="0.2">
      <c r="A2552" s="704">
        <v>6312</v>
      </c>
      <c r="B2552" s="704">
        <v>6312</v>
      </c>
      <c r="C2552" s="704" t="s">
        <v>565</v>
      </c>
      <c r="D2552" s="704" t="s">
        <v>521</v>
      </c>
      <c r="E2552" s="704">
        <v>1</v>
      </c>
      <c r="F2552" s="704">
        <v>100</v>
      </c>
      <c r="H2552">
        <f t="shared" si="140"/>
        <v>6312</v>
      </c>
      <c r="I2552" t="str">
        <f t="shared" si="141"/>
        <v>Rest of WA</v>
      </c>
    </row>
    <row r="2553" spans="1:9" x14ac:dyDescent="0.2">
      <c r="A2553" s="704">
        <v>6313</v>
      </c>
      <c r="B2553" s="704">
        <v>6313</v>
      </c>
      <c r="C2553" s="704" t="s">
        <v>565</v>
      </c>
      <c r="D2553" s="704" t="s">
        <v>521</v>
      </c>
      <c r="E2553" s="704">
        <v>1</v>
      </c>
      <c r="F2553" s="704">
        <v>100</v>
      </c>
      <c r="H2553">
        <f t="shared" ref="H2553:H2616" si="142">A2553*1</f>
        <v>6313</v>
      </c>
      <c r="I2553" t="str">
        <f t="shared" ref="I2553:I2616" si="143">D2553</f>
        <v>Rest of WA</v>
      </c>
    </row>
    <row r="2554" spans="1:9" x14ac:dyDescent="0.2">
      <c r="A2554" s="704">
        <v>6315</v>
      </c>
      <c r="B2554" s="704">
        <v>6315</v>
      </c>
      <c r="C2554" s="704" t="s">
        <v>565</v>
      </c>
      <c r="D2554" s="704" t="s">
        <v>521</v>
      </c>
      <c r="E2554" s="704">
        <v>1</v>
      </c>
      <c r="F2554" s="704">
        <v>100</v>
      </c>
      <c r="H2554">
        <f t="shared" si="142"/>
        <v>6315</v>
      </c>
      <c r="I2554" t="str">
        <f t="shared" si="143"/>
        <v>Rest of WA</v>
      </c>
    </row>
    <row r="2555" spans="1:9" x14ac:dyDescent="0.2">
      <c r="A2555" s="704">
        <v>6316</v>
      </c>
      <c r="B2555" s="704">
        <v>6316</v>
      </c>
      <c r="C2555" s="704" t="s">
        <v>565</v>
      </c>
      <c r="D2555" s="704" t="s">
        <v>521</v>
      </c>
      <c r="E2555" s="704">
        <v>1</v>
      </c>
      <c r="F2555" s="704">
        <v>100</v>
      </c>
      <c r="H2555">
        <f t="shared" si="142"/>
        <v>6316</v>
      </c>
      <c r="I2555" t="str">
        <f t="shared" si="143"/>
        <v>Rest of WA</v>
      </c>
    </row>
    <row r="2556" spans="1:9" x14ac:dyDescent="0.2">
      <c r="A2556" s="704">
        <v>6317</v>
      </c>
      <c r="B2556" s="704">
        <v>6317</v>
      </c>
      <c r="C2556" s="704" t="s">
        <v>565</v>
      </c>
      <c r="D2556" s="704" t="s">
        <v>521</v>
      </c>
      <c r="E2556" s="704">
        <v>1</v>
      </c>
      <c r="F2556" s="704">
        <v>100</v>
      </c>
      <c r="H2556">
        <f t="shared" si="142"/>
        <v>6317</v>
      </c>
      <c r="I2556" t="str">
        <f t="shared" si="143"/>
        <v>Rest of WA</v>
      </c>
    </row>
    <row r="2557" spans="1:9" x14ac:dyDescent="0.2">
      <c r="A2557" s="704">
        <v>6318</v>
      </c>
      <c r="B2557" s="704">
        <v>6318</v>
      </c>
      <c r="C2557" s="704" t="s">
        <v>565</v>
      </c>
      <c r="D2557" s="704" t="s">
        <v>521</v>
      </c>
      <c r="E2557" s="704">
        <v>1</v>
      </c>
      <c r="F2557" s="704">
        <v>100</v>
      </c>
      <c r="H2557">
        <f t="shared" si="142"/>
        <v>6318</v>
      </c>
      <c r="I2557" t="str">
        <f t="shared" si="143"/>
        <v>Rest of WA</v>
      </c>
    </row>
    <row r="2558" spans="1:9" x14ac:dyDescent="0.2">
      <c r="A2558" s="704">
        <v>6320</v>
      </c>
      <c r="B2558" s="704">
        <v>6320</v>
      </c>
      <c r="C2558" s="704" t="s">
        <v>565</v>
      </c>
      <c r="D2558" s="704" t="s">
        <v>521</v>
      </c>
      <c r="E2558" s="704">
        <v>1</v>
      </c>
      <c r="F2558" s="704">
        <v>100</v>
      </c>
      <c r="H2558">
        <f t="shared" si="142"/>
        <v>6320</v>
      </c>
      <c r="I2558" t="str">
        <f t="shared" si="143"/>
        <v>Rest of WA</v>
      </c>
    </row>
    <row r="2559" spans="1:9" x14ac:dyDescent="0.2">
      <c r="A2559" s="704">
        <v>6321</v>
      </c>
      <c r="B2559" s="704">
        <v>6321</v>
      </c>
      <c r="C2559" s="704" t="s">
        <v>565</v>
      </c>
      <c r="D2559" s="704" t="s">
        <v>521</v>
      </c>
      <c r="E2559" s="704">
        <v>1</v>
      </c>
      <c r="F2559" s="704">
        <v>100</v>
      </c>
      <c r="H2559">
        <f t="shared" si="142"/>
        <v>6321</v>
      </c>
      <c r="I2559" t="str">
        <f t="shared" si="143"/>
        <v>Rest of WA</v>
      </c>
    </row>
    <row r="2560" spans="1:9" x14ac:dyDescent="0.2">
      <c r="A2560" s="704">
        <v>6322</v>
      </c>
      <c r="B2560" s="704">
        <v>6322</v>
      </c>
      <c r="C2560" s="704" t="s">
        <v>565</v>
      </c>
      <c r="D2560" s="704" t="s">
        <v>521</v>
      </c>
      <c r="E2560" s="704">
        <v>1</v>
      </c>
      <c r="F2560" s="704">
        <v>100</v>
      </c>
      <c r="H2560">
        <f t="shared" si="142"/>
        <v>6322</v>
      </c>
      <c r="I2560" t="str">
        <f t="shared" si="143"/>
        <v>Rest of WA</v>
      </c>
    </row>
    <row r="2561" spans="1:9" x14ac:dyDescent="0.2">
      <c r="A2561" s="704">
        <v>6323</v>
      </c>
      <c r="B2561" s="704">
        <v>6323</v>
      </c>
      <c r="C2561" s="704" t="s">
        <v>565</v>
      </c>
      <c r="D2561" s="704" t="s">
        <v>521</v>
      </c>
      <c r="E2561" s="704">
        <v>1</v>
      </c>
      <c r="F2561" s="704">
        <v>100</v>
      </c>
      <c r="H2561">
        <f t="shared" si="142"/>
        <v>6323</v>
      </c>
      <c r="I2561" t="str">
        <f t="shared" si="143"/>
        <v>Rest of WA</v>
      </c>
    </row>
    <row r="2562" spans="1:9" x14ac:dyDescent="0.2">
      <c r="A2562" s="704">
        <v>6324</v>
      </c>
      <c r="B2562" s="704">
        <v>6324</v>
      </c>
      <c r="C2562" s="704" t="s">
        <v>565</v>
      </c>
      <c r="D2562" s="704" t="s">
        <v>521</v>
      </c>
      <c r="E2562" s="704">
        <v>1</v>
      </c>
      <c r="F2562" s="704">
        <v>100</v>
      </c>
      <c r="H2562">
        <f t="shared" si="142"/>
        <v>6324</v>
      </c>
      <c r="I2562" t="str">
        <f t="shared" si="143"/>
        <v>Rest of WA</v>
      </c>
    </row>
    <row r="2563" spans="1:9" x14ac:dyDescent="0.2">
      <c r="A2563" s="704">
        <v>6326</v>
      </c>
      <c r="B2563" s="704">
        <v>6326</v>
      </c>
      <c r="C2563" s="704" t="s">
        <v>565</v>
      </c>
      <c r="D2563" s="704" t="s">
        <v>521</v>
      </c>
      <c r="E2563" s="704">
        <v>1</v>
      </c>
      <c r="F2563" s="704">
        <v>100</v>
      </c>
      <c r="H2563">
        <f t="shared" si="142"/>
        <v>6326</v>
      </c>
      <c r="I2563" t="str">
        <f t="shared" si="143"/>
        <v>Rest of WA</v>
      </c>
    </row>
    <row r="2564" spans="1:9" x14ac:dyDescent="0.2">
      <c r="A2564" s="704">
        <v>6327</v>
      </c>
      <c r="B2564" s="704">
        <v>6327</v>
      </c>
      <c r="C2564" s="704" t="s">
        <v>565</v>
      </c>
      <c r="D2564" s="704" t="s">
        <v>521</v>
      </c>
      <c r="E2564" s="704">
        <v>1</v>
      </c>
      <c r="F2564" s="704">
        <v>100</v>
      </c>
      <c r="H2564">
        <f t="shared" si="142"/>
        <v>6327</v>
      </c>
      <c r="I2564" t="str">
        <f t="shared" si="143"/>
        <v>Rest of WA</v>
      </c>
    </row>
    <row r="2565" spans="1:9" x14ac:dyDescent="0.2">
      <c r="A2565" s="704">
        <v>6328</v>
      </c>
      <c r="B2565" s="704">
        <v>6328</v>
      </c>
      <c r="C2565" s="704" t="s">
        <v>565</v>
      </c>
      <c r="D2565" s="704" t="s">
        <v>521</v>
      </c>
      <c r="E2565" s="704">
        <v>1</v>
      </c>
      <c r="F2565" s="704">
        <v>100</v>
      </c>
      <c r="H2565">
        <f t="shared" si="142"/>
        <v>6328</v>
      </c>
      <c r="I2565" t="str">
        <f t="shared" si="143"/>
        <v>Rest of WA</v>
      </c>
    </row>
    <row r="2566" spans="1:9" x14ac:dyDescent="0.2">
      <c r="A2566" s="704">
        <v>6330</v>
      </c>
      <c r="B2566" s="704">
        <v>6330</v>
      </c>
      <c r="C2566" s="704" t="s">
        <v>565</v>
      </c>
      <c r="D2566" s="704" t="s">
        <v>521</v>
      </c>
      <c r="E2566" s="704">
        <v>0.99890599999999996</v>
      </c>
      <c r="F2566" s="704">
        <v>99.890600000000006</v>
      </c>
      <c r="H2566">
        <f t="shared" si="142"/>
        <v>6330</v>
      </c>
      <c r="I2566" t="str">
        <f t="shared" si="143"/>
        <v>Rest of WA</v>
      </c>
    </row>
    <row r="2567" spans="1:9" x14ac:dyDescent="0.2">
      <c r="A2567" s="704">
        <v>6333</v>
      </c>
      <c r="B2567" s="704">
        <v>6333</v>
      </c>
      <c r="C2567" s="704" t="s">
        <v>565</v>
      </c>
      <c r="D2567" s="704" t="s">
        <v>521</v>
      </c>
      <c r="E2567" s="704">
        <v>0.99845200000000001</v>
      </c>
      <c r="F2567" s="704">
        <v>99.845200000000006</v>
      </c>
      <c r="H2567">
        <f t="shared" si="142"/>
        <v>6333</v>
      </c>
      <c r="I2567" t="str">
        <f t="shared" si="143"/>
        <v>Rest of WA</v>
      </c>
    </row>
    <row r="2568" spans="1:9" x14ac:dyDescent="0.2">
      <c r="A2568" s="704">
        <v>6335</v>
      </c>
      <c r="B2568" s="704">
        <v>6335</v>
      </c>
      <c r="C2568" s="704" t="s">
        <v>565</v>
      </c>
      <c r="D2568" s="704" t="s">
        <v>521</v>
      </c>
      <c r="E2568" s="704">
        <v>1</v>
      </c>
      <c r="F2568" s="704">
        <v>100</v>
      </c>
      <c r="H2568">
        <f t="shared" si="142"/>
        <v>6335</v>
      </c>
      <c r="I2568" t="str">
        <f t="shared" si="143"/>
        <v>Rest of WA</v>
      </c>
    </row>
    <row r="2569" spans="1:9" x14ac:dyDescent="0.2">
      <c r="A2569" s="704">
        <v>6336</v>
      </c>
      <c r="B2569" s="704">
        <v>6336</v>
      </c>
      <c r="C2569" s="704" t="s">
        <v>565</v>
      </c>
      <c r="D2569" s="704" t="s">
        <v>521</v>
      </c>
      <c r="E2569" s="704">
        <v>1</v>
      </c>
      <c r="F2569" s="704">
        <v>100</v>
      </c>
      <c r="H2569">
        <f t="shared" si="142"/>
        <v>6336</v>
      </c>
      <c r="I2569" t="str">
        <f t="shared" si="143"/>
        <v>Rest of WA</v>
      </c>
    </row>
    <row r="2570" spans="1:9" x14ac:dyDescent="0.2">
      <c r="A2570" s="704">
        <v>6337</v>
      </c>
      <c r="B2570" s="704">
        <v>6337</v>
      </c>
      <c r="C2570" s="704" t="s">
        <v>565</v>
      </c>
      <c r="D2570" s="704" t="s">
        <v>521</v>
      </c>
      <c r="E2570" s="704">
        <v>1</v>
      </c>
      <c r="F2570" s="704">
        <v>100</v>
      </c>
      <c r="H2570">
        <f t="shared" si="142"/>
        <v>6337</v>
      </c>
      <c r="I2570" t="str">
        <f t="shared" si="143"/>
        <v>Rest of WA</v>
      </c>
    </row>
    <row r="2571" spans="1:9" x14ac:dyDescent="0.2">
      <c r="A2571" s="704">
        <v>6338</v>
      </c>
      <c r="B2571" s="704">
        <v>6338</v>
      </c>
      <c r="C2571" s="704" t="s">
        <v>565</v>
      </c>
      <c r="D2571" s="704" t="s">
        <v>521</v>
      </c>
      <c r="E2571" s="704">
        <v>1</v>
      </c>
      <c r="F2571" s="704">
        <v>100</v>
      </c>
      <c r="H2571">
        <f t="shared" si="142"/>
        <v>6338</v>
      </c>
      <c r="I2571" t="str">
        <f t="shared" si="143"/>
        <v>Rest of WA</v>
      </c>
    </row>
    <row r="2572" spans="1:9" x14ac:dyDescent="0.2">
      <c r="A2572" s="704">
        <v>6341</v>
      </c>
      <c r="B2572" s="704">
        <v>6341</v>
      </c>
      <c r="C2572" s="704" t="s">
        <v>565</v>
      </c>
      <c r="D2572" s="704" t="s">
        <v>521</v>
      </c>
      <c r="E2572" s="704">
        <v>1</v>
      </c>
      <c r="F2572" s="704">
        <v>100</v>
      </c>
      <c r="H2572">
        <f t="shared" si="142"/>
        <v>6341</v>
      </c>
      <c r="I2572" t="str">
        <f t="shared" si="143"/>
        <v>Rest of WA</v>
      </c>
    </row>
    <row r="2573" spans="1:9" x14ac:dyDescent="0.2">
      <c r="A2573" s="704">
        <v>6343</v>
      </c>
      <c r="B2573" s="704">
        <v>6343</v>
      </c>
      <c r="C2573" s="704" t="s">
        <v>565</v>
      </c>
      <c r="D2573" s="704" t="s">
        <v>521</v>
      </c>
      <c r="E2573" s="704">
        <v>1</v>
      </c>
      <c r="F2573" s="704">
        <v>100</v>
      </c>
      <c r="H2573">
        <f t="shared" si="142"/>
        <v>6343</v>
      </c>
      <c r="I2573" t="str">
        <f t="shared" si="143"/>
        <v>Rest of WA</v>
      </c>
    </row>
    <row r="2574" spans="1:9" x14ac:dyDescent="0.2">
      <c r="A2574" s="704">
        <v>6346</v>
      </c>
      <c r="B2574" s="704">
        <v>6346</v>
      </c>
      <c r="C2574" s="704" t="s">
        <v>565</v>
      </c>
      <c r="D2574" s="704" t="s">
        <v>521</v>
      </c>
      <c r="E2574" s="704">
        <v>1</v>
      </c>
      <c r="F2574" s="704">
        <v>100</v>
      </c>
      <c r="H2574">
        <f t="shared" si="142"/>
        <v>6346</v>
      </c>
      <c r="I2574" t="str">
        <f t="shared" si="143"/>
        <v>Rest of WA</v>
      </c>
    </row>
    <row r="2575" spans="1:9" x14ac:dyDescent="0.2">
      <c r="A2575" s="704">
        <v>6348</v>
      </c>
      <c r="B2575" s="704">
        <v>6348</v>
      </c>
      <c r="C2575" s="704" t="s">
        <v>565</v>
      </c>
      <c r="D2575" s="704" t="s">
        <v>521</v>
      </c>
      <c r="E2575" s="704">
        <v>1</v>
      </c>
      <c r="F2575" s="704">
        <v>100</v>
      </c>
      <c r="H2575">
        <f t="shared" si="142"/>
        <v>6348</v>
      </c>
      <c r="I2575" t="str">
        <f t="shared" si="143"/>
        <v>Rest of WA</v>
      </c>
    </row>
    <row r="2576" spans="1:9" x14ac:dyDescent="0.2">
      <c r="A2576" s="704">
        <v>6350</v>
      </c>
      <c r="B2576" s="704">
        <v>6350</v>
      </c>
      <c r="C2576" s="704" t="s">
        <v>565</v>
      </c>
      <c r="D2576" s="704" t="s">
        <v>521</v>
      </c>
      <c r="E2576" s="704">
        <v>1</v>
      </c>
      <c r="F2576" s="704">
        <v>100</v>
      </c>
      <c r="H2576">
        <f t="shared" si="142"/>
        <v>6350</v>
      </c>
      <c r="I2576" t="str">
        <f t="shared" si="143"/>
        <v>Rest of WA</v>
      </c>
    </row>
    <row r="2577" spans="1:9" x14ac:dyDescent="0.2">
      <c r="A2577" s="704">
        <v>6351</v>
      </c>
      <c r="B2577" s="704">
        <v>6351</v>
      </c>
      <c r="C2577" s="704" t="s">
        <v>565</v>
      </c>
      <c r="D2577" s="704" t="s">
        <v>521</v>
      </c>
      <c r="E2577" s="704">
        <v>1</v>
      </c>
      <c r="F2577" s="704">
        <v>100</v>
      </c>
      <c r="H2577">
        <f t="shared" si="142"/>
        <v>6351</v>
      </c>
      <c r="I2577" t="str">
        <f t="shared" si="143"/>
        <v>Rest of WA</v>
      </c>
    </row>
    <row r="2578" spans="1:9" x14ac:dyDescent="0.2">
      <c r="A2578" s="704">
        <v>6352</v>
      </c>
      <c r="B2578" s="704">
        <v>6352</v>
      </c>
      <c r="C2578" s="704" t="s">
        <v>565</v>
      </c>
      <c r="D2578" s="704" t="s">
        <v>521</v>
      </c>
      <c r="E2578" s="704">
        <v>1</v>
      </c>
      <c r="F2578" s="704">
        <v>100</v>
      </c>
      <c r="H2578">
        <f t="shared" si="142"/>
        <v>6352</v>
      </c>
      <c r="I2578" t="str">
        <f t="shared" si="143"/>
        <v>Rest of WA</v>
      </c>
    </row>
    <row r="2579" spans="1:9" x14ac:dyDescent="0.2">
      <c r="A2579" s="704">
        <v>6353</v>
      </c>
      <c r="B2579" s="704">
        <v>6353</v>
      </c>
      <c r="C2579" s="704" t="s">
        <v>565</v>
      </c>
      <c r="D2579" s="704" t="s">
        <v>521</v>
      </c>
      <c r="E2579" s="704">
        <v>1</v>
      </c>
      <c r="F2579" s="704">
        <v>100</v>
      </c>
      <c r="H2579">
        <f t="shared" si="142"/>
        <v>6353</v>
      </c>
      <c r="I2579" t="str">
        <f t="shared" si="143"/>
        <v>Rest of WA</v>
      </c>
    </row>
    <row r="2580" spans="1:9" x14ac:dyDescent="0.2">
      <c r="A2580" s="704">
        <v>6355</v>
      </c>
      <c r="B2580" s="704">
        <v>6355</v>
      </c>
      <c r="C2580" s="704" t="s">
        <v>565</v>
      </c>
      <c r="D2580" s="704" t="s">
        <v>521</v>
      </c>
      <c r="E2580" s="704">
        <v>1</v>
      </c>
      <c r="F2580" s="704">
        <v>100</v>
      </c>
      <c r="H2580">
        <f t="shared" si="142"/>
        <v>6355</v>
      </c>
      <c r="I2580" t="str">
        <f t="shared" si="143"/>
        <v>Rest of WA</v>
      </c>
    </row>
    <row r="2581" spans="1:9" x14ac:dyDescent="0.2">
      <c r="A2581" s="704">
        <v>6356</v>
      </c>
      <c r="B2581" s="704">
        <v>6356</v>
      </c>
      <c r="C2581" s="704" t="s">
        <v>565</v>
      </c>
      <c r="D2581" s="704" t="s">
        <v>521</v>
      </c>
      <c r="E2581" s="704">
        <v>1</v>
      </c>
      <c r="F2581" s="704">
        <v>100</v>
      </c>
      <c r="H2581">
        <f t="shared" si="142"/>
        <v>6356</v>
      </c>
      <c r="I2581" t="str">
        <f t="shared" si="143"/>
        <v>Rest of WA</v>
      </c>
    </row>
    <row r="2582" spans="1:9" x14ac:dyDescent="0.2">
      <c r="A2582" s="704">
        <v>6357</v>
      </c>
      <c r="B2582" s="704">
        <v>6357</v>
      </c>
      <c r="C2582" s="704" t="s">
        <v>565</v>
      </c>
      <c r="D2582" s="704" t="s">
        <v>521</v>
      </c>
      <c r="E2582" s="704">
        <v>1</v>
      </c>
      <c r="F2582" s="704">
        <v>100</v>
      </c>
      <c r="H2582">
        <f t="shared" si="142"/>
        <v>6357</v>
      </c>
      <c r="I2582" t="str">
        <f t="shared" si="143"/>
        <v>Rest of WA</v>
      </c>
    </row>
    <row r="2583" spans="1:9" x14ac:dyDescent="0.2">
      <c r="A2583" s="704">
        <v>6358</v>
      </c>
      <c r="B2583" s="704">
        <v>6358</v>
      </c>
      <c r="C2583" s="704" t="s">
        <v>565</v>
      </c>
      <c r="D2583" s="704" t="s">
        <v>521</v>
      </c>
      <c r="E2583" s="704">
        <v>1</v>
      </c>
      <c r="F2583" s="704">
        <v>100</v>
      </c>
      <c r="H2583">
        <f t="shared" si="142"/>
        <v>6358</v>
      </c>
      <c r="I2583" t="str">
        <f t="shared" si="143"/>
        <v>Rest of WA</v>
      </c>
    </row>
    <row r="2584" spans="1:9" x14ac:dyDescent="0.2">
      <c r="A2584" s="704">
        <v>6359</v>
      </c>
      <c r="B2584" s="704">
        <v>6359</v>
      </c>
      <c r="C2584" s="704" t="s">
        <v>565</v>
      </c>
      <c r="D2584" s="704" t="s">
        <v>521</v>
      </c>
      <c r="E2584" s="704">
        <v>1</v>
      </c>
      <c r="F2584" s="704">
        <v>100</v>
      </c>
      <c r="H2584">
        <f t="shared" si="142"/>
        <v>6359</v>
      </c>
      <c r="I2584" t="str">
        <f t="shared" si="143"/>
        <v>Rest of WA</v>
      </c>
    </row>
    <row r="2585" spans="1:9" x14ac:dyDescent="0.2">
      <c r="A2585" s="704">
        <v>6361</v>
      </c>
      <c r="B2585" s="704">
        <v>6361</v>
      </c>
      <c r="C2585" s="704" t="s">
        <v>565</v>
      </c>
      <c r="D2585" s="704" t="s">
        <v>521</v>
      </c>
      <c r="E2585" s="704">
        <v>1</v>
      </c>
      <c r="F2585" s="704">
        <v>100</v>
      </c>
      <c r="H2585">
        <f t="shared" si="142"/>
        <v>6361</v>
      </c>
      <c r="I2585" t="str">
        <f t="shared" si="143"/>
        <v>Rest of WA</v>
      </c>
    </row>
    <row r="2586" spans="1:9" x14ac:dyDescent="0.2">
      <c r="A2586" s="704">
        <v>6363</v>
      </c>
      <c r="B2586" s="704">
        <v>6363</v>
      </c>
      <c r="C2586" s="704" t="s">
        <v>565</v>
      </c>
      <c r="D2586" s="704" t="s">
        <v>521</v>
      </c>
      <c r="E2586" s="704">
        <v>1</v>
      </c>
      <c r="F2586" s="704">
        <v>100</v>
      </c>
      <c r="H2586">
        <f t="shared" si="142"/>
        <v>6363</v>
      </c>
      <c r="I2586" t="str">
        <f t="shared" si="143"/>
        <v>Rest of WA</v>
      </c>
    </row>
    <row r="2587" spans="1:9" x14ac:dyDescent="0.2">
      <c r="A2587" s="704">
        <v>6365</v>
      </c>
      <c r="B2587" s="704">
        <v>6365</v>
      </c>
      <c r="C2587" s="704" t="s">
        <v>565</v>
      </c>
      <c r="D2587" s="704" t="s">
        <v>521</v>
      </c>
      <c r="E2587" s="704">
        <v>1</v>
      </c>
      <c r="F2587" s="704">
        <v>100</v>
      </c>
      <c r="H2587">
        <f t="shared" si="142"/>
        <v>6365</v>
      </c>
      <c r="I2587" t="str">
        <f t="shared" si="143"/>
        <v>Rest of WA</v>
      </c>
    </row>
    <row r="2588" spans="1:9" x14ac:dyDescent="0.2">
      <c r="A2588" s="704">
        <v>6367</v>
      </c>
      <c r="B2588" s="704">
        <v>6367</v>
      </c>
      <c r="C2588" s="704" t="s">
        <v>565</v>
      </c>
      <c r="D2588" s="704" t="s">
        <v>521</v>
      </c>
      <c r="E2588" s="704">
        <v>1</v>
      </c>
      <c r="F2588" s="704">
        <v>100</v>
      </c>
      <c r="H2588">
        <f t="shared" si="142"/>
        <v>6367</v>
      </c>
      <c r="I2588" t="str">
        <f t="shared" si="143"/>
        <v>Rest of WA</v>
      </c>
    </row>
    <row r="2589" spans="1:9" x14ac:dyDescent="0.2">
      <c r="A2589" s="704">
        <v>6368</v>
      </c>
      <c r="B2589" s="704">
        <v>6368</v>
      </c>
      <c r="C2589" s="704" t="s">
        <v>565</v>
      </c>
      <c r="D2589" s="704" t="s">
        <v>521</v>
      </c>
      <c r="E2589" s="704">
        <v>1</v>
      </c>
      <c r="F2589" s="704">
        <v>100</v>
      </c>
      <c r="H2589">
        <f t="shared" si="142"/>
        <v>6368</v>
      </c>
      <c r="I2589" t="str">
        <f t="shared" si="143"/>
        <v>Rest of WA</v>
      </c>
    </row>
    <row r="2590" spans="1:9" x14ac:dyDescent="0.2">
      <c r="A2590" s="704">
        <v>6369</v>
      </c>
      <c r="B2590" s="704">
        <v>6369</v>
      </c>
      <c r="C2590" s="704" t="s">
        <v>565</v>
      </c>
      <c r="D2590" s="704" t="s">
        <v>521</v>
      </c>
      <c r="E2590" s="704">
        <v>1</v>
      </c>
      <c r="F2590" s="704">
        <v>100</v>
      </c>
      <c r="H2590">
        <f t="shared" si="142"/>
        <v>6369</v>
      </c>
      <c r="I2590" t="str">
        <f t="shared" si="143"/>
        <v>Rest of WA</v>
      </c>
    </row>
    <row r="2591" spans="1:9" x14ac:dyDescent="0.2">
      <c r="A2591" s="704">
        <v>6370</v>
      </c>
      <c r="B2591" s="704">
        <v>6370</v>
      </c>
      <c r="C2591" s="704" t="s">
        <v>565</v>
      </c>
      <c r="D2591" s="704" t="s">
        <v>521</v>
      </c>
      <c r="E2591" s="704">
        <v>1</v>
      </c>
      <c r="F2591" s="704">
        <v>100</v>
      </c>
      <c r="H2591">
        <f t="shared" si="142"/>
        <v>6370</v>
      </c>
      <c r="I2591" t="str">
        <f t="shared" si="143"/>
        <v>Rest of WA</v>
      </c>
    </row>
    <row r="2592" spans="1:9" x14ac:dyDescent="0.2">
      <c r="A2592" s="704">
        <v>6372</v>
      </c>
      <c r="B2592" s="704">
        <v>6372</v>
      </c>
      <c r="C2592" s="704" t="s">
        <v>565</v>
      </c>
      <c r="D2592" s="704" t="s">
        <v>521</v>
      </c>
      <c r="E2592" s="704">
        <v>1</v>
      </c>
      <c r="F2592" s="704">
        <v>100</v>
      </c>
      <c r="H2592">
        <f t="shared" si="142"/>
        <v>6372</v>
      </c>
      <c r="I2592" t="str">
        <f t="shared" si="143"/>
        <v>Rest of WA</v>
      </c>
    </row>
    <row r="2593" spans="1:9" x14ac:dyDescent="0.2">
      <c r="A2593" s="704">
        <v>6373</v>
      </c>
      <c r="B2593" s="704">
        <v>6373</v>
      </c>
      <c r="C2593" s="704" t="s">
        <v>565</v>
      </c>
      <c r="D2593" s="704" t="s">
        <v>521</v>
      </c>
      <c r="E2593" s="704">
        <v>1</v>
      </c>
      <c r="F2593" s="704">
        <v>100</v>
      </c>
      <c r="H2593">
        <f t="shared" si="142"/>
        <v>6373</v>
      </c>
      <c r="I2593" t="str">
        <f t="shared" si="143"/>
        <v>Rest of WA</v>
      </c>
    </row>
    <row r="2594" spans="1:9" x14ac:dyDescent="0.2">
      <c r="A2594" s="704">
        <v>6375</v>
      </c>
      <c r="B2594" s="704">
        <v>6375</v>
      </c>
      <c r="C2594" s="704" t="s">
        <v>565</v>
      </c>
      <c r="D2594" s="704" t="s">
        <v>521</v>
      </c>
      <c r="E2594" s="704">
        <v>1</v>
      </c>
      <c r="F2594" s="704">
        <v>100</v>
      </c>
      <c r="H2594">
        <f t="shared" si="142"/>
        <v>6375</v>
      </c>
      <c r="I2594" t="str">
        <f t="shared" si="143"/>
        <v>Rest of WA</v>
      </c>
    </row>
    <row r="2595" spans="1:9" x14ac:dyDescent="0.2">
      <c r="A2595" s="704">
        <v>6383</v>
      </c>
      <c r="B2595" s="704">
        <v>6383</v>
      </c>
      <c r="C2595" s="704" t="s">
        <v>565</v>
      </c>
      <c r="D2595" s="704" t="s">
        <v>521</v>
      </c>
      <c r="E2595" s="704">
        <v>1</v>
      </c>
      <c r="F2595" s="704">
        <v>100</v>
      </c>
      <c r="H2595">
        <f t="shared" si="142"/>
        <v>6383</v>
      </c>
      <c r="I2595" t="str">
        <f t="shared" si="143"/>
        <v>Rest of WA</v>
      </c>
    </row>
    <row r="2596" spans="1:9" x14ac:dyDescent="0.2">
      <c r="A2596" s="704">
        <v>6384</v>
      </c>
      <c r="B2596" s="704">
        <v>6384</v>
      </c>
      <c r="C2596" s="704" t="s">
        <v>565</v>
      </c>
      <c r="D2596" s="704" t="s">
        <v>521</v>
      </c>
      <c r="E2596" s="704">
        <v>1</v>
      </c>
      <c r="F2596" s="704">
        <v>100</v>
      </c>
      <c r="H2596">
        <f t="shared" si="142"/>
        <v>6384</v>
      </c>
      <c r="I2596" t="str">
        <f t="shared" si="143"/>
        <v>Rest of WA</v>
      </c>
    </row>
    <row r="2597" spans="1:9" x14ac:dyDescent="0.2">
      <c r="A2597" s="704">
        <v>6385</v>
      </c>
      <c r="B2597" s="704">
        <v>6385</v>
      </c>
      <c r="C2597" s="704" t="s">
        <v>565</v>
      </c>
      <c r="D2597" s="704" t="s">
        <v>521</v>
      </c>
      <c r="E2597" s="704">
        <v>1</v>
      </c>
      <c r="F2597" s="704">
        <v>100</v>
      </c>
      <c r="H2597">
        <f t="shared" si="142"/>
        <v>6385</v>
      </c>
      <c r="I2597" t="str">
        <f t="shared" si="143"/>
        <v>Rest of WA</v>
      </c>
    </row>
    <row r="2598" spans="1:9" x14ac:dyDescent="0.2">
      <c r="A2598" s="704">
        <v>6386</v>
      </c>
      <c r="B2598" s="704">
        <v>6386</v>
      </c>
      <c r="C2598" s="704" t="s">
        <v>565</v>
      </c>
      <c r="D2598" s="704" t="s">
        <v>521</v>
      </c>
      <c r="E2598" s="704">
        <v>1</v>
      </c>
      <c r="F2598" s="704">
        <v>100</v>
      </c>
      <c r="H2598">
        <f t="shared" si="142"/>
        <v>6386</v>
      </c>
      <c r="I2598" t="str">
        <f t="shared" si="143"/>
        <v>Rest of WA</v>
      </c>
    </row>
    <row r="2599" spans="1:9" x14ac:dyDescent="0.2">
      <c r="A2599" s="704">
        <v>6390</v>
      </c>
      <c r="B2599" s="704">
        <v>6390</v>
      </c>
      <c r="C2599" s="704" t="s">
        <v>565</v>
      </c>
      <c r="D2599" s="704" t="s">
        <v>521</v>
      </c>
      <c r="E2599" s="704">
        <v>1</v>
      </c>
      <c r="F2599" s="704">
        <v>100</v>
      </c>
      <c r="H2599">
        <f t="shared" si="142"/>
        <v>6390</v>
      </c>
      <c r="I2599" t="str">
        <f t="shared" si="143"/>
        <v>Rest of WA</v>
      </c>
    </row>
    <row r="2600" spans="1:9" x14ac:dyDescent="0.2">
      <c r="A2600" s="704">
        <v>6391</v>
      </c>
      <c r="B2600" s="704">
        <v>6391</v>
      </c>
      <c r="C2600" s="704" t="s">
        <v>565</v>
      </c>
      <c r="D2600" s="704" t="s">
        <v>521</v>
      </c>
      <c r="E2600" s="704">
        <v>1</v>
      </c>
      <c r="F2600" s="704">
        <v>100</v>
      </c>
      <c r="H2600">
        <f t="shared" si="142"/>
        <v>6391</v>
      </c>
      <c r="I2600" t="str">
        <f t="shared" si="143"/>
        <v>Rest of WA</v>
      </c>
    </row>
    <row r="2601" spans="1:9" x14ac:dyDescent="0.2">
      <c r="A2601" s="704">
        <v>6392</v>
      </c>
      <c r="B2601" s="704">
        <v>6392</v>
      </c>
      <c r="C2601" s="704" t="s">
        <v>565</v>
      </c>
      <c r="D2601" s="704" t="s">
        <v>521</v>
      </c>
      <c r="E2601" s="704">
        <v>1</v>
      </c>
      <c r="F2601" s="704">
        <v>100</v>
      </c>
      <c r="H2601">
        <f t="shared" si="142"/>
        <v>6392</v>
      </c>
      <c r="I2601" t="str">
        <f t="shared" si="143"/>
        <v>Rest of WA</v>
      </c>
    </row>
    <row r="2602" spans="1:9" x14ac:dyDescent="0.2">
      <c r="A2602" s="704">
        <v>6393</v>
      </c>
      <c r="B2602" s="704">
        <v>6393</v>
      </c>
      <c r="C2602" s="704" t="s">
        <v>565</v>
      </c>
      <c r="D2602" s="704" t="s">
        <v>521</v>
      </c>
      <c r="E2602" s="704">
        <v>1</v>
      </c>
      <c r="F2602" s="704">
        <v>100</v>
      </c>
      <c r="H2602">
        <f t="shared" si="142"/>
        <v>6393</v>
      </c>
      <c r="I2602" t="str">
        <f t="shared" si="143"/>
        <v>Rest of WA</v>
      </c>
    </row>
    <row r="2603" spans="1:9" x14ac:dyDescent="0.2">
      <c r="A2603" s="704">
        <v>6394</v>
      </c>
      <c r="B2603" s="704">
        <v>6394</v>
      </c>
      <c r="C2603" s="704" t="s">
        <v>565</v>
      </c>
      <c r="D2603" s="704" t="s">
        <v>521</v>
      </c>
      <c r="E2603" s="704">
        <v>1</v>
      </c>
      <c r="F2603" s="704">
        <v>100</v>
      </c>
      <c r="H2603">
        <f t="shared" si="142"/>
        <v>6394</v>
      </c>
      <c r="I2603" t="str">
        <f t="shared" si="143"/>
        <v>Rest of WA</v>
      </c>
    </row>
    <row r="2604" spans="1:9" x14ac:dyDescent="0.2">
      <c r="A2604" s="704">
        <v>6395</v>
      </c>
      <c r="B2604" s="704">
        <v>6395</v>
      </c>
      <c r="C2604" s="704" t="s">
        <v>565</v>
      </c>
      <c r="D2604" s="704" t="s">
        <v>521</v>
      </c>
      <c r="E2604" s="704">
        <v>1</v>
      </c>
      <c r="F2604" s="704">
        <v>100</v>
      </c>
      <c r="H2604">
        <f t="shared" si="142"/>
        <v>6395</v>
      </c>
      <c r="I2604" t="str">
        <f t="shared" si="143"/>
        <v>Rest of WA</v>
      </c>
    </row>
    <row r="2605" spans="1:9" x14ac:dyDescent="0.2">
      <c r="A2605" s="704">
        <v>6396</v>
      </c>
      <c r="B2605" s="704">
        <v>6396</v>
      </c>
      <c r="C2605" s="704" t="s">
        <v>565</v>
      </c>
      <c r="D2605" s="704" t="s">
        <v>521</v>
      </c>
      <c r="E2605" s="704">
        <v>1</v>
      </c>
      <c r="F2605" s="704">
        <v>100</v>
      </c>
      <c r="H2605">
        <f t="shared" si="142"/>
        <v>6396</v>
      </c>
      <c r="I2605" t="str">
        <f t="shared" si="143"/>
        <v>Rest of WA</v>
      </c>
    </row>
    <row r="2606" spans="1:9" x14ac:dyDescent="0.2">
      <c r="A2606" s="704">
        <v>6397</v>
      </c>
      <c r="B2606" s="704">
        <v>6397</v>
      </c>
      <c r="C2606" s="704" t="s">
        <v>565</v>
      </c>
      <c r="D2606" s="704" t="s">
        <v>521</v>
      </c>
      <c r="E2606" s="704">
        <v>1</v>
      </c>
      <c r="F2606" s="704">
        <v>100</v>
      </c>
      <c r="H2606">
        <f t="shared" si="142"/>
        <v>6397</v>
      </c>
      <c r="I2606" t="str">
        <f t="shared" si="143"/>
        <v>Rest of WA</v>
      </c>
    </row>
    <row r="2607" spans="1:9" x14ac:dyDescent="0.2">
      <c r="A2607" s="704">
        <v>6398</v>
      </c>
      <c r="B2607" s="704">
        <v>6398</v>
      </c>
      <c r="C2607" s="704" t="s">
        <v>565</v>
      </c>
      <c r="D2607" s="704" t="s">
        <v>521</v>
      </c>
      <c r="E2607" s="704">
        <v>1</v>
      </c>
      <c r="F2607" s="704">
        <v>100</v>
      </c>
      <c r="H2607">
        <f t="shared" si="142"/>
        <v>6398</v>
      </c>
      <c r="I2607" t="str">
        <f t="shared" si="143"/>
        <v>Rest of WA</v>
      </c>
    </row>
    <row r="2608" spans="1:9" x14ac:dyDescent="0.2">
      <c r="A2608" s="704">
        <v>6401</v>
      </c>
      <c r="B2608" s="704">
        <v>6401</v>
      </c>
      <c r="C2608" s="704" t="s">
        <v>565</v>
      </c>
      <c r="D2608" s="704" t="s">
        <v>521</v>
      </c>
      <c r="E2608" s="704">
        <v>1</v>
      </c>
      <c r="F2608" s="704">
        <v>100</v>
      </c>
      <c r="H2608">
        <f t="shared" si="142"/>
        <v>6401</v>
      </c>
      <c r="I2608" t="str">
        <f t="shared" si="143"/>
        <v>Rest of WA</v>
      </c>
    </row>
    <row r="2609" spans="1:9" x14ac:dyDescent="0.2">
      <c r="A2609" s="704">
        <v>6403</v>
      </c>
      <c r="B2609" s="704">
        <v>6403</v>
      </c>
      <c r="C2609" s="704" t="s">
        <v>565</v>
      </c>
      <c r="D2609" s="704" t="s">
        <v>521</v>
      </c>
      <c r="E2609" s="704">
        <v>1</v>
      </c>
      <c r="F2609" s="704">
        <v>100</v>
      </c>
      <c r="H2609">
        <f t="shared" si="142"/>
        <v>6403</v>
      </c>
      <c r="I2609" t="str">
        <f t="shared" si="143"/>
        <v>Rest of WA</v>
      </c>
    </row>
    <row r="2610" spans="1:9" x14ac:dyDescent="0.2">
      <c r="A2610" s="704">
        <v>6405</v>
      </c>
      <c r="B2610" s="704">
        <v>6405</v>
      </c>
      <c r="C2610" s="704" t="s">
        <v>565</v>
      </c>
      <c r="D2610" s="704" t="s">
        <v>521</v>
      </c>
      <c r="E2610" s="704">
        <v>1</v>
      </c>
      <c r="F2610" s="704">
        <v>100</v>
      </c>
      <c r="H2610">
        <f t="shared" si="142"/>
        <v>6405</v>
      </c>
      <c r="I2610" t="str">
        <f t="shared" si="143"/>
        <v>Rest of WA</v>
      </c>
    </row>
    <row r="2611" spans="1:9" x14ac:dyDescent="0.2">
      <c r="A2611" s="704">
        <v>6407</v>
      </c>
      <c r="B2611" s="704">
        <v>6407</v>
      </c>
      <c r="C2611" s="704" t="s">
        <v>565</v>
      </c>
      <c r="D2611" s="704" t="s">
        <v>521</v>
      </c>
      <c r="E2611" s="704">
        <v>1</v>
      </c>
      <c r="F2611" s="704">
        <v>100</v>
      </c>
      <c r="H2611">
        <f t="shared" si="142"/>
        <v>6407</v>
      </c>
      <c r="I2611" t="str">
        <f t="shared" si="143"/>
        <v>Rest of WA</v>
      </c>
    </row>
    <row r="2612" spans="1:9" x14ac:dyDescent="0.2">
      <c r="A2612" s="704">
        <v>6409</v>
      </c>
      <c r="B2612" s="704">
        <v>6409</v>
      </c>
      <c r="C2612" s="704" t="s">
        <v>565</v>
      </c>
      <c r="D2612" s="704" t="s">
        <v>521</v>
      </c>
      <c r="E2612" s="704">
        <v>1</v>
      </c>
      <c r="F2612" s="704">
        <v>100</v>
      </c>
      <c r="H2612">
        <f t="shared" si="142"/>
        <v>6409</v>
      </c>
      <c r="I2612" t="str">
        <f t="shared" si="143"/>
        <v>Rest of WA</v>
      </c>
    </row>
    <row r="2613" spans="1:9" x14ac:dyDescent="0.2">
      <c r="A2613" s="704">
        <v>6410</v>
      </c>
      <c r="B2613" s="704">
        <v>6410</v>
      </c>
      <c r="C2613" s="704" t="s">
        <v>565</v>
      </c>
      <c r="D2613" s="704" t="s">
        <v>521</v>
      </c>
      <c r="E2613" s="704">
        <v>1</v>
      </c>
      <c r="F2613" s="704">
        <v>100</v>
      </c>
      <c r="H2613">
        <f t="shared" si="142"/>
        <v>6410</v>
      </c>
      <c r="I2613" t="str">
        <f t="shared" si="143"/>
        <v>Rest of WA</v>
      </c>
    </row>
    <row r="2614" spans="1:9" x14ac:dyDescent="0.2">
      <c r="A2614" s="704">
        <v>6411</v>
      </c>
      <c r="B2614" s="704">
        <v>6411</v>
      </c>
      <c r="C2614" s="704" t="s">
        <v>565</v>
      </c>
      <c r="D2614" s="704" t="s">
        <v>521</v>
      </c>
      <c r="E2614" s="704">
        <v>1</v>
      </c>
      <c r="F2614" s="704">
        <v>100</v>
      </c>
      <c r="H2614">
        <f t="shared" si="142"/>
        <v>6411</v>
      </c>
      <c r="I2614" t="str">
        <f t="shared" si="143"/>
        <v>Rest of WA</v>
      </c>
    </row>
    <row r="2615" spans="1:9" x14ac:dyDescent="0.2">
      <c r="A2615" s="704">
        <v>6412</v>
      </c>
      <c r="B2615" s="704">
        <v>6412</v>
      </c>
      <c r="C2615" s="704" t="s">
        <v>565</v>
      </c>
      <c r="D2615" s="704" t="s">
        <v>521</v>
      </c>
      <c r="E2615" s="704">
        <v>1</v>
      </c>
      <c r="F2615" s="704">
        <v>100</v>
      </c>
      <c r="H2615">
        <f t="shared" si="142"/>
        <v>6412</v>
      </c>
      <c r="I2615" t="str">
        <f t="shared" si="143"/>
        <v>Rest of WA</v>
      </c>
    </row>
    <row r="2616" spans="1:9" x14ac:dyDescent="0.2">
      <c r="A2616" s="704">
        <v>6413</v>
      </c>
      <c r="B2616" s="704">
        <v>6413</v>
      </c>
      <c r="C2616" s="704" t="s">
        <v>565</v>
      </c>
      <c r="D2616" s="704" t="s">
        <v>521</v>
      </c>
      <c r="E2616" s="704">
        <v>1</v>
      </c>
      <c r="F2616" s="704">
        <v>100</v>
      </c>
      <c r="H2616">
        <f t="shared" si="142"/>
        <v>6413</v>
      </c>
      <c r="I2616" t="str">
        <f t="shared" si="143"/>
        <v>Rest of WA</v>
      </c>
    </row>
    <row r="2617" spans="1:9" x14ac:dyDescent="0.2">
      <c r="A2617" s="704">
        <v>6414</v>
      </c>
      <c r="B2617" s="704">
        <v>6414</v>
      </c>
      <c r="C2617" s="704" t="s">
        <v>565</v>
      </c>
      <c r="D2617" s="704" t="s">
        <v>521</v>
      </c>
      <c r="E2617" s="704">
        <v>1</v>
      </c>
      <c r="F2617" s="704">
        <v>100</v>
      </c>
      <c r="H2617">
        <f t="shared" ref="H2617:H2680" si="144">A2617*1</f>
        <v>6414</v>
      </c>
      <c r="I2617" t="str">
        <f t="shared" ref="I2617:I2680" si="145">D2617</f>
        <v>Rest of WA</v>
      </c>
    </row>
    <row r="2618" spans="1:9" x14ac:dyDescent="0.2">
      <c r="A2618" s="704">
        <v>6415</v>
      </c>
      <c r="B2618" s="704">
        <v>6415</v>
      </c>
      <c r="C2618" s="704" t="s">
        <v>565</v>
      </c>
      <c r="D2618" s="704" t="s">
        <v>521</v>
      </c>
      <c r="E2618" s="704">
        <v>1</v>
      </c>
      <c r="F2618" s="704">
        <v>100</v>
      </c>
      <c r="H2618">
        <f t="shared" si="144"/>
        <v>6415</v>
      </c>
      <c r="I2618" t="str">
        <f t="shared" si="145"/>
        <v>Rest of WA</v>
      </c>
    </row>
    <row r="2619" spans="1:9" x14ac:dyDescent="0.2">
      <c r="A2619" s="704">
        <v>6418</v>
      </c>
      <c r="B2619" s="704">
        <v>6418</v>
      </c>
      <c r="C2619" s="704" t="s">
        <v>565</v>
      </c>
      <c r="D2619" s="704" t="s">
        <v>521</v>
      </c>
      <c r="E2619" s="704">
        <v>1</v>
      </c>
      <c r="F2619" s="704">
        <v>100</v>
      </c>
      <c r="H2619">
        <f t="shared" si="144"/>
        <v>6418</v>
      </c>
      <c r="I2619" t="str">
        <f t="shared" si="145"/>
        <v>Rest of WA</v>
      </c>
    </row>
    <row r="2620" spans="1:9" x14ac:dyDescent="0.2">
      <c r="A2620" s="704">
        <v>6419</v>
      </c>
      <c r="B2620" s="704">
        <v>6419</v>
      </c>
      <c r="C2620" s="704" t="s">
        <v>565</v>
      </c>
      <c r="D2620" s="704" t="s">
        <v>521</v>
      </c>
      <c r="E2620" s="704">
        <v>1</v>
      </c>
      <c r="F2620" s="704">
        <v>100</v>
      </c>
      <c r="H2620">
        <f t="shared" si="144"/>
        <v>6419</v>
      </c>
      <c r="I2620" t="str">
        <f t="shared" si="145"/>
        <v>Rest of WA</v>
      </c>
    </row>
    <row r="2621" spans="1:9" x14ac:dyDescent="0.2">
      <c r="A2621" s="704">
        <v>6420</v>
      </c>
      <c r="B2621" s="704">
        <v>6420</v>
      </c>
      <c r="C2621" s="704" t="s">
        <v>565</v>
      </c>
      <c r="D2621" s="704" t="s">
        <v>521</v>
      </c>
      <c r="E2621" s="704">
        <v>1</v>
      </c>
      <c r="F2621" s="704">
        <v>100</v>
      </c>
      <c r="H2621">
        <f t="shared" si="144"/>
        <v>6420</v>
      </c>
      <c r="I2621" t="str">
        <f t="shared" si="145"/>
        <v>Rest of WA</v>
      </c>
    </row>
    <row r="2622" spans="1:9" x14ac:dyDescent="0.2">
      <c r="A2622" s="704">
        <v>6421</v>
      </c>
      <c r="B2622" s="704">
        <v>6421</v>
      </c>
      <c r="C2622" s="704" t="s">
        <v>565</v>
      </c>
      <c r="D2622" s="704" t="s">
        <v>521</v>
      </c>
      <c r="E2622" s="704">
        <v>1</v>
      </c>
      <c r="F2622" s="704">
        <v>100</v>
      </c>
      <c r="H2622">
        <f t="shared" si="144"/>
        <v>6421</v>
      </c>
      <c r="I2622" t="str">
        <f t="shared" si="145"/>
        <v>Rest of WA</v>
      </c>
    </row>
    <row r="2623" spans="1:9" x14ac:dyDescent="0.2">
      <c r="A2623" s="704">
        <v>6422</v>
      </c>
      <c r="B2623" s="704">
        <v>6422</v>
      </c>
      <c r="C2623" s="704" t="s">
        <v>565</v>
      </c>
      <c r="D2623" s="704" t="s">
        <v>521</v>
      </c>
      <c r="E2623" s="704">
        <v>1</v>
      </c>
      <c r="F2623" s="704">
        <v>100</v>
      </c>
      <c r="H2623">
        <f t="shared" si="144"/>
        <v>6422</v>
      </c>
      <c r="I2623" t="str">
        <f t="shared" si="145"/>
        <v>Rest of WA</v>
      </c>
    </row>
    <row r="2624" spans="1:9" x14ac:dyDescent="0.2">
      <c r="A2624" s="704">
        <v>6423</v>
      </c>
      <c r="B2624" s="704">
        <v>6423</v>
      </c>
      <c r="C2624" s="704" t="s">
        <v>565</v>
      </c>
      <c r="D2624" s="704" t="s">
        <v>521</v>
      </c>
      <c r="E2624" s="704">
        <v>1</v>
      </c>
      <c r="F2624" s="704">
        <v>100</v>
      </c>
      <c r="H2624">
        <f t="shared" si="144"/>
        <v>6423</v>
      </c>
      <c r="I2624" t="str">
        <f t="shared" si="145"/>
        <v>Rest of WA</v>
      </c>
    </row>
    <row r="2625" spans="1:9" x14ac:dyDescent="0.2">
      <c r="A2625" s="704">
        <v>6424</v>
      </c>
      <c r="B2625" s="704">
        <v>6424</v>
      </c>
      <c r="C2625" s="704" t="s">
        <v>565</v>
      </c>
      <c r="D2625" s="704" t="s">
        <v>521</v>
      </c>
      <c r="E2625" s="704">
        <v>1</v>
      </c>
      <c r="F2625" s="704">
        <v>100</v>
      </c>
      <c r="H2625">
        <f t="shared" si="144"/>
        <v>6424</v>
      </c>
      <c r="I2625" t="str">
        <f t="shared" si="145"/>
        <v>Rest of WA</v>
      </c>
    </row>
    <row r="2626" spans="1:9" x14ac:dyDescent="0.2">
      <c r="A2626" s="704">
        <v>6425</v>
      </c>
      <c r="B2626" s="704">
        <v>6425</v>
      </c>
      <c r="C2626" s="704" t="s">
        <v>565</v>
      </c>
      <c r="D2626" s="704" t="s">
        <v>521</v>
      </c>
      <c r="E2626" s="704">
        <v>1</v>
      </c>
      <c r="F2626" s="704">
        <v>100</v>
      </c>
      <c r="H2626">
        <f t="shared" si="144"/>
        <v>6425</v>
      </c>
      <c r="I2626" t="str">
        <f t="shared" si="145"/>
        <v>Rest of WA</v>
      </c>
    </row>
    <row r="2627" spans="1:9" x14ac:dyDescent="0.2">
      <c r="A2627" s="704">
        <v>6426</v>
      </c>
      <c r="B2627" s="704">
        <v>6426</v>
      </c>
      <c r="C2627" s="704" t="s">
        <v>565</v>
      </c>
      <c r="D2627" s="704" t="s">
        <v>521</v>
      </c>
      <c r="E2627" s="704">
        <v>1</v>
      </c>
      <c r="F2627" s="704">
        <v>100</v>
      </c>
      <c r="H2627">
        <f t="shared" si="144"/>
        <v>6426</v>
      </c>
      <c r="I2627" t="str">
        <f t="shared" si="145"/>
        <v>Rest of WA</v>
      </c>
    </row>
    <row r="2628" spans="1:9" x14ac:dyDescent="0.2">
      <c r="A2628" s="704">
        <v>6427</v>
      </c>
      <c r="B2628" s="704">
        <v>6427</v>
      </c>
      <c r="C2628" s="704" t="s">
        <v>565</v>
      </c>
      <c r="D2628" s="704" t="s">
        <v>521</v>
      </c>
      <c r="E2628" s="704">
        <v>1</v>
      </c>
      <c r="F2628" s="704">
        <v>100</v>
      </c>
      <c r="H2628">
        <f t="shared" si="144"/>
        <v>6427</v>
      </c>
      <c r="I2628" t="str">
        <f t="shared" si="145"/>
        <v>Rest of WA</v>
      </c>
    </row>
    <row r="2629" spans="1:9" x14ac:dyDescent="0.2">
      <c r="A2629" s="704">
        <v>6428</v>
      </c>
      <c r="B2629" s="704">
        <v>6428</v>
      </c>
      <c r="C2629" s="704" t="s">
        <v>565</v>
      </c>
      <c r="D2629" s="704" t="s">
        <v>521</v>
      </c>
      <c r="E2629" s="704">
        <v>1</v>
      </c>
      <c r="F2629" s="704">
        <v>100</v>
      </c>
      <c r="H2629">
        <f t="shared" si="144"/>
        <v>6428</v>
      </c>
      <c r="I2629" t="str">
        <f t="shared" si="145"/>
        <v>Rest of WA</v>
      </c>
    </row>
    <row r="2630" spans="1:9" x14ac:dyDescent="0.2">
      <c r="A2630" s="704">
        <v>6429</v>
      </c>
      <c r="B2630" s="704">
        <v>6429</v>
      </c>
      <c r="C2630" s="704" t="s">
        <v>565</v>
      </c>
      <c r="D2630" s="704" t="s">
        <v>521</v>
      </c>
      <c r="E2630" s="704">
        <v>1</v>
      </c>
      <c r="F2630" s="704">
        <v>100</v>
      </c>
      <c r="H2630">
        <f t="shared" si="144"/>
        <v>6429</v>
      </c>
      <c r="I2630" t="str">
        <f t="shared" si="145"/>
        <v>Rest of WA</v>
      </c>
    </row>
    <row r="2631" spans="1:9" x14ac:dyDescent="0.2">
      <c r="A2631" s="704">
        <v>6430</v>
      </c>
      <c r="B2631" s="704">
        <v>6430</v>
      </c>
      <c r="C2631" s="704" t="s">
        <v>565</v>
      </c>
      <c r="D2631" s="704" t="s">
        <v>521</v>
      </c>
      <c r="E2631" s="704">
        <v>1</v>
      </c>
      <c r="F2631" s="704">
        <v>100</v>
      </c>
      <c r="H2631">
        <f t="shared" si="144"/>
        <v>6430</v>
      </c>
      <c r="I2631" t="str">
        <f t="shared" si="145"/>
        <v>Rest of WA</v>
      </c>
    </row>
    <row r="2632" spans="1:9" x14ac:dyDescent="0.2">
      <c r="A2632" s="704">
        <v>6431</v>
      </c>
      <c r="B2632" s="704">
        <v>6431</v>
      </c>
      <c r="C2632" s="704" t="s">
        <v>565</v>
      </c>
      <c r="D2632" s="704" t="s">
        <v>521</v>
      </c>
      <c r="E2632" s="704">
        <v>1</v>
      </c>
      <c r="F2632" s="704">
        <v>100</v>
      </c>
      <c r="H2632">
        <f t="shared" si="144"/>
        <v>6431</v>
      </c>
      <c r="I2632" t="str">
        <f t="shared" si="145"/>
        <v>Rest of WA</v>
      </c>
    </row>
    <row r="2633" spans="1:9" x14ac:dyDescent="0.2">
      <c r="A2633" s="704">
        <v>6432</v>
      </c>
      <c r="B2633" s="704">
        <v>6432</v>
      </c>
      <c r="C2633" s="704" t="s">
        <v>565</v>
      </c>
      <c r="D2633" s="704" t="s">
        <v>521</v>
      </c>
      <c r="E2633" s="704">
        <v>1</v>
      </c>
      <c r="F2633" s="704">
        <v>100</v>
      </c>
      <c r="H2633">
        <f t="shared" si="144"/>
        <v>6432</v>
      </c>
      <c r="I2633" t="str">
        <f t="shared" si="145"/>
        <v>Rest of WA</v>
      </c>
    </row>
    <row r="2634" spans="1:9" x14ac:dyDescent="0.2">
      <c r="A2634" s="704">
        <v>6434</v>
      </c>
      <c r="B2634" s="704">
        <v>6434</v>
      </c>
      <c r="C2634" s="704" t="s">
        <v>565</v>
      </c>
      <c r="D2634" s="704" t="s">
        <v>521</v>
      </c>
      <c r="E2634" s="704">
        <v>1</v>
      </c>
      <c r="F2634" s="704">
        <v>100</v>
      </c>
      <c r="H2634">
        <f t="shared" si="144"/>
        <v>6434</v>
      </c>
      <c r="I2634" t="str">
        <f t="shared" si="145"/>
        <v>Rest of WA</v>
      </c>
    </row>
    <row r="2635" spans="1:9" x14ac:dyDescent="0.2">
      <c r="A2635" s="704">
        <v>6436</v>
      </c>
      <c r="B2635" s="704">
        <v>6436</v>
      </c>
      <c r="C2635" s="704" t="s">
        <v>565</v>
      </c>
      <c r="D2635" s="704" t="s">
        <v>521</v>
      </c>
      <c r="E2635" s="704">
        <v>1</v>
      </c>
      <c r="F2635" s="704">
        <v>100</v>
      </c>
      <c r="H2635">
        <f t="shared" si="144"/>
        <v>6436</v>
      </c>
      <c r="I2635" t="str">
        <f t="shared" si="145"/>
        <v>Rest of WA</v>
      </c>
    </row>
    <row r="2636" spans="1:9" x14ac:dyDescent="0.2">
      <c r="A2636" s="704">
        <v>6437</v>
      </c>
      <c r="B2636" s="704">
        <v>6437</v>
      </c>
      <c r="C2636" s="704" t="s">
        <v>565</v>
      </c>
      <c r="D2636" s="704" t="s">
        <v>521</v>
      </c>
      <c r="E2636" s="704">
        <v>1</v>
      </c>
      <c r="F2636" s="704">
        <v>100</v>
      </c>
      <c r="H2636">
        <f t="shared" si="144"/>
        <v>6437</v>
      </c>
      <c r="I2636" t="str">
        <f t="shared" si="145"/>
        <v>Rest of WA</v>
      </c>
    </row>
    <row r="2637" spans="1:9" x14ac:dyDescent="0.2">
      <c r="A2637" s="704">
        <v>6438</v>
      </c>
      <c r="B2637" s="704">
        <v>6438</v>
      </c>
      <c r="C2637" s="704" t="s">
        <v>565</v>
      </c>
      <c r="D2637" s="704" t="s">
        <v>521</v>
      </c>
      <c r="E2637" s="704">
        <v>1</v>
      </c>
      <c r="F2637" s="704">
        <v>100</v>
      </c>
      <c r="H2637">
        <f t="shared" si="144"/>
        <v>6438</v>
      </c>
      <c r="I2637" t="str">
        <f t="shared" si="145"/>
        <v>Rest of WA</v>
      </c>
    </row>
    <row r="2638" spans="1:9" x14ac:dyDescent="0.2">
      <c r="A2638" s="704">
        <v>6440</v>
      </c>
      <c r="B2638" s="704">
        <v>6440</v>
      </c>
      <c r="C2638" s="704" t="s">
        <v>565</v>
      </c>
      <c r="D2638" s="704" t="s">
        <v>521</v>
      </c>
      <c r="E2638" s="704">
        <v>1</v>
      </c>
      <c r="F2638" s="704">
        <v>100</v>
      </c>
      <c r="H2638">
        <f t="shared" si="144"/>
        <v>6440</v>
      </c>
      <c r="I2638" t="str">
        <f t="shared" si="145"/>
        <v>Rest of WA</v>
      </c>
    </row>
    <row r="2639" spans="1:9" x14ac:dyDescent="0.2">
      <c r="A2639" s="704">
        <v>6442</v>
      </c>
      <c r="B2639" s="704">
        <v>6442</v>
      </c>
      <c r="C2639" s="704" t="s">
        <v>565</v>
      </c>
      <c r="D2639" s="704" t="s">
        <v>521</v>
      </c>
      <c r="E2639" s="704">
        <v>1</v>
      </c>
      <c r="F2639" s="704">
        <v>100</v>
      </c>
      <c r="H2639">
        <f t="shared" si="144"/>
        <v>6442</v>
      </c>
      <c r="I2639" t="str">
        <f t="shared" si="145"/>
        <v>Rest of WA</v>
      </c>
    </row>
    <row r="2640" spans="1:9" x14ac:dyDescent="0.2">
      <c r="A2640" s="704">
        <v>6443</v>
      </c>
      <c r="B2640" s="704">
        <v>6443</v>
      </c>
      <c r="C2640" s="704" t="s">
        <v>565</v>
      </c>
      <c r="D2640" s="704" t="s">
        <v>521</v>
      </c>
      <c r="E2640" s="704">
        <v>1</v>
      </c>
      <c r="F2640" s="704">
        <v>100</v>
      </c>
      <c r="H2640">
        <f t="shared" si="144"/>
        <v>6443</v>
      </c>
      <c r="I2640" t="str">
        <f t="shared" si="145"/>
        <v>Rest of WA</v>
      </c>
    </row>
    <row r="2641" spans="1:9" x14ac:dyDescent="0.2">
      <c r="A2641" s="704">
        <v>6445</v>
      </c>
      <c r="B2641" s="704">
        <v>6445</v>
      </c>
      <c r="C2641" s="704" t="s">
        <v>565</v>
      </c>
      <c r="D2641" s="704" t="s">
        <v>521</v>
      </c>
      <c r="E2641" s="704">
        <v>1</v>
      </c>
      <c r="F2641" s="704">
        <v>100</v>
      </c>
      <c r="H2641">
        <f t="shared" si="144"/>
        <v>6445</v>
      </c>
      <c r="I2641" t="str">
        <f t="shared" si="145"/>
        <v>Rest of WA</v>
      </c>
    </row>
    <row r="2642" spans="1:9" x14ac:dyDescent="0.2">
      <c r="A2642" s="704">
        <v>6446</v>
      </c>
      <c r="B2642" s="704">
        <v>6446</v>
      </c>
      <c r="C2642" s="704" t="s">
        <v>565</v>
      </c>
      <c r="D2642" s="704" t="s">
        <v>521</v>
      </c>
      <c r="E2642" s="704">
        <v>1</v>
      </c>
      <c r="F2642" s="704">
        <v>100</v>
      </c>
      <c r="H2642">
        <f t="shared" si="144"/>
        <v>6446</v>
      </c>
      <c r="I2642" t="str">
        <f t="shared" si="145"/>
        <v>Rest of WA</v>
      </c>
    </row>
    <row r="2643" spans="1:9" x14ac:dyDescent="0.2">
      <c r="A2643" s="704">
        <v>6447</v>
      </c>
      <c r="B2643" s="704">
        <v>6447</v>
      </c>
      <c r="C2643" s="704" t="s">
        <v>565</v>
      </c>
      <c r="D2643" s="704" t="s">
        <v>521</v>
      </c>
      <c r="E2643" s="704">
        <v>1</v>
      </c>
      <c r="F2643" s="704">
        <v>100</v>
      </c>
      <c r="H2643">
        <f t="shared" si="144"/>
        <v>6447</v>
      </c>
      <c r="I2643" t="str">
        <f t="shared" si="145"/>
        <v>Rest of WA</v>
      </c>
    </row>
    <row r="2644" spans="1:9" x14ac:dyDescent="0.2">
      <c r="A2644" s="704">
        <v>6448</v>
      </c>
      <c r="B2644" s="704">
        <v>6448</v>
      </c>
      <c r="C2644" s="704" t="s">
        <v>565</v>
      </c>
      <c r="D2644" s="704" t="s">
        <v>521</v>
      </c>
      <c r="E2644" s="704">
        <v>1</v>
      </c>
      <c r="F2644" s="704">
        <v>100</v>
      </c>
      <c r="H2644">
        <f t="shared" si="144"/>
        <v>6448</v>
      </c>
      <c r="I2644" t="str">
        <f t="shared" si="145"/>
        <v>Rest of WA</v>
      </c>
    </row>
    <row r="2645" spans="1:9" x14ac:dyDescent="0.2">
      <c r="A2645" s="704">
        <v>6450</v>
      </c>
      <c r="B2645" s="704">
        <v>6450</v>
      </c>
      <c r="C2645" s="704" t="s">
        <v>565</v>
      </c>
      <c r="D2645" s="704" t="s">
        <v>521</v>
      </c>
      <c r="E2645" s="704">
        <v>1</v>
      </c>
      <c r="F2645" s="704">
        <v>100</v>
      </c>
      <c r="H2645">
        <f t="shared" si="144"/>
        <v>6450</v>
      </c>
      <c r="I2645" t="str">
        <f t="shared" si="145"/>
        <v>Rest of WA</v>
      </c>
    </row>
    <row r="2646" spans="1:9" x14ac:dyDescent="0.2">
      <c r="A2646" s="704">
        <v>6452</v>
      </c>
      <c r="B2646" s="704">
        <v>6452</v>
      </c>
      <c r="C2646" s="704" t="s">
        <v>565</v>
      </c>
      <c r="D2646" s="704" t="s">
        <v>521</v>
      </c>
      <c r="E2646" s="704">
        <v>1</v>
      </c>
      <c r="F2646" s="704">
        <v>100</v>
      </c>
      <c r="H2646">
        <f t="shared" si="144"/>
        <v>6452</v>
      </c>
      <c r="I2646" t="str">
        <f t="shared" si="145"/>
        <v>Rest of WA</v>
      </c>
    </row>
    <row r="2647" spans="1:9" x14ac:dyDescent="0.2">
      <c r="A2647" s="704">
        <v>6460</v>
      </c>
      <c r="B2647" s="704">
        <v>6460</v>
      </c>
      <c r="C2647" s="704" t="s">
        <v>565</v>
      </c>
      <c r="D2647" s="704" t="s">
        <v>521</v>
      </c>
      <c r="E2647" s="704">
        <v>1</v>
      </c>
      <c r="F2647" s="704">
        <v>100</v>
      </c>
      <c r="H2647">
        <f t="shared" si="144"/>
        <v>6460</v>
      </c>
      <c r="I2647" t="str">
        <f t="shared" si="145"/>
        <v>Rest of WA</v>
      </c>
    </row>
    <row r="2648" spans="1:9" x14ac:dyDescent="0.2">
      <c r="A2648" s="704">
        <v>6461</v>
      </c>
      <c r="B2648" s="704">
        <v>6461</v>
      </c>
      <c r="C2648" s="704" t="s">
        <v>565</v>
      </c>
      <c r="D2648" s="704" t="s">
        <v>521</v>
      </c>
      <c r="E2648" s="704">
        <v>1</v>
      </c>
      <c r="F2648" s="704">
        <v>100</v>
      </c>
      <c r="H2648">
        <f t="shared" si="144"/>
        <v>6461</v>
      </c>
      <c r="I2648" t="str">
        <f t="shared" si="145"/>
        <v>Rest of WA</v>
      </c>
    </row>
    <row r="2649" spans="1:9" x14ac:dyDescent="0.2">
      <c r="A2649" s="704">
        <v>6462</v>
      </c>
      <c r="B2649" s="704">
        <v>6462</v>
      </c>
      <c r="C2649" s="704" t="s">
        <v>565</v>
      </c>
      <c r="D2649" s="704" t="s">
        <v>521</v>
      </c>
      <c r="E2649" s="704">
        <v>1</v>
      </c>
      <c r="F2649" s="704">
        <v>100</v>
      </c>
      <c r="H2649">
        <f t="shared" si="144"/>
        <v>6462</v>
      </c>
      <c r="I2649" t="str">
        <f t="shared" si="145"/>
        <v>Rest of WA</v>
      </c>
    </row>
    <row r="2650" spans="1:9" x14ac:dyDescent="0.2">
      <c r="A2650" s="704">
        <v>6463</v>
      </c>
      <c r="B2650" s="704">
        <v>6463</v>
      </c>
      <c r="C2650" s="704" t="s">
        <v>565</v>
      </c>
      <c r="D2650" s="704" t="s">
        <v>521</v>
      </c>
      <c r="E2650" s="704">
        <v>1</v>
      </c>
      <c r="F2650" s="704">
        <v>100</v>
      </c>
      <c r="H2650">
        <f t="shared" si="144"/>
        <v>6463</v>
      </c>
      <c r="I2650" t="str">
        <f t="shared" si="145"/>
        <v>Rest of WA</v>
      </c>
    </row>
    <row r="2651" spans="1:9" x14ac:dyDescent="0.2">
      <c r="A2651" s="704">
        <v>6465</v>
      </c>
      <c r="B2651" s="704">
        <v>6465</v>
      </c>
      <c r="C2651" s="704" t="s">
        <v>565</v>
      </c>
      <c r="D2651" s="704" t="s">
        <v>521</v>
      </c>
      <c r="E2651" s="704">
        <v>1</v>
      </c>
      <c r="F2651" s="704">
        <v>100</v>
      </c>
      <c r="H2651">
        <f t="shared" si="144"/>
        <v>6465</v>
      </c>
      <c r="I2651" t="str">
        <f t="shared" si="145"/>
        <v>Rest of WA</v>
      </c>
    </row>
    <row r="2652" spans="1:9" x14ac:dyDescent="0.2">
      <c r="A2652" s="704">
        <v>6466</v>
      </c>
      <c r="B2652" s="704">
        <v>6466</v>
      </c>
      <c r="C2652" s="704" t="s">
        <v>565</v>
      </c>
      <c r="D2652" s="704" t="s">
        <v>521</v>
      </c>
      <c r="E2652" s="704">
        <v>1</v>
      </c>
      <c r="F2652" s="704">
        <v>100</v>
      </c>
      <c r="H2652">
        <f t="shared" si="144"/>
        <v>6466</v>
      </c>
      <c r="I2652" t="str">
        <f t="shared" si="145"/>
        <v>Rest of WA</v>
      </c>
    </row>
    <row r="2653" spans="1:9" x14ac:dyDescent="0.2">
      <c r="A2653" s="704">
        <v>6467</v>
      </c>
      <c r="B2653" s="704">
        <v>6467</v>
      </c>
      <c r="C2653" s="704" t="s">
        <v>565</v>
      </c>
      <c r="D2653" s="704" t="s">
        <v>521</v>
      </c>
      <c r="E2653" s="704">
        <v>1</v>
      </c>
      <c r="F2653" s="704">
        <v>100</v>
      </c>
      <c r="H2653">
        <f t="shared" si="144"/>
        <v>6467</v>
      </c>
      <c r="I2653" t="str">
        <f t="shared" si="145"/>
        <v>Rest of WA</v>
      </c>
    </row>
    <row r="2654" spans="1:9" x14ac:dyDescent="0.2">
      <c r="A2654" s="704">
        <v>6468</v>
      </c>
      <c r="B2654" s="704">
        <v>6468</v>
      </c>
      <c r="C2654" s="704" t="s">
        <v>565</v>
      </c>
      <c r="D2654" s="704" t="s">
        <v>521</v>
      </c>
      <c r="E2654" s="704">
        <v>1</v>
      </c>
      <c r="F2654" s="704">
        <v>100</v>
      </c>
      <c r="H2654">
        <f t="shared" si="144"/>
        <v>6468</v>
      </c>
      <c r="I2654" t="str">
        <f t="shared" si="145"/>
        <v>Rest of WA</v>
      </c>
    </row>
    <row r="2655" spans="1:9" x14ac:dyDescent="0.2">
      <c r="A2655" s="704">
        <v>6470</v>
      </c>
      <c r="B2655" s="704">
        <v>6470</v>
      </c>
      <c r="C2655" s="704" t="s">
        <v>565</v>
      </c>
      <c r="D2655" s="704" t="s">
        <v>521</v>
      </c>
      <c r="E2655" s="704">
        <v>1</v>
      </c>
      <c r="F2655" s="704">
        <v>100</v>
      </c>
      <c r="H2655">
        <f t="shared" si="144"/>
        <v>6470</v>
      </c>
      <c r="I2655" t="str">
        <f t="shared" si="145"/>
        <v>Rest of WA</v>
      </c>
    </row>
    <row r="2656" spans="1:9" x14ac:dyDescent="0.2">
      <c r="A2656" s="704">
        <v>6472</v>
      </c>
      <c r="B2656" s="704">
        <v>6472</v>
      </c>
      <c r="C2656" s="704" t="s">
        <v>565</v>
      </c>
      <c r="D2656" s="704" t="s">
        <v>521</v>
      </c>
      <c r="E2656" s="704">
        <v>1</v>
      </c>
      <c r="F2656" s="704">
        <v>100</v>
      </c>
      <c r="H2656">
        <f t="shared" si="144"/>
        <v>6472</v>
      </c>
      <c r="I2656" t="str">
        <f t="shared" si="145"/>
        <v>Rest of WA</v>
      </c>
    </row>
    <row r="2657" spans="1:9" x14ac:dyDescent="0.2">
      <c r="A2657" s="704">
        <v>6473</v>
      </c>
      <c r="B2657" s="704">
        <v>6473</v>
      </c>
      <c r="C2657" s="704" t="s">
        <v>565</v>
      </c>
      <c r="D2657" s="704" t="s">
        <v>521</v>
      </c>
      <c r="E2657" s="704">
        <v>1</v>
      </c>
      <c r="F2657" s="704">
        <v>100</v>
      </c>
      <c r="H2657">
        <f t="shared" si="144"/>
        <v>6473</v>
      </c>
      <c r="I2657" t="str">
        <f t="shared" si="145"/>
        <v>Rest of WA</v>
      </c>
    </row>
    <row r="2658" spans="1:9" x14ac:dyDescent="0.2">
      <c r="A2658" s="704">
        <v>6475</v>
      </c>
      <c r="B2658" s="704">
        <v>6475</v>
      </c>
      <c r="C2658" s="704" t="s">
        <v>565</v>
      </c>
      <c r="D2658" s="704" t="s">
        <v>521</v>
      </c>
      <c r="E2658" s="704">
        <v>1</v>
      </c>
      <c r="F2658" s="704">
        <v>100</v>
      </c>
      <c r="H2658">
        <f t="shared" si="144"/>
        <v>6475</v>
      </c>
      <c r="I2658" t="str">
        <f t="shared" si="145"/>
        <v>Rest of WA</v>
      </c>
    </row>
    <row r="2659" spans="1:9" x14ac:dyDescent="0.2">
      <c r="A2659" s="704">
        <v>6476</v>
      </c>
      <c r="B2659" s="704">
        <v>6476</v>
      </c>
      <c r="C2659" s="704" t="s">
        <v>565</v>
      </c>
      <c r="D2659" s="704" t="s">
        <v>521</v>
      </c>
      <c r="E2659" s="704">
        <v>1</v>
      </c>
      <c r="F2659" s="704">
        <v>100</v>
      </c>
      <c r="H2659">
        <f t="shared" si="144"/>
        <v>6476</v>
      </c>
      <c r="I2659" t="str">
        <f t="shared" si="145"/>
        <v>Rest of WA</v>
      </c>
    </row>
    <row r="2660" spans="1:9" x14ac:dyDescent="0.2">
      <c r="A2660" s="704">
        <v>6477</v>
      </c>
      <c r="B2660" s="704">
        <v>6477</v>
      </c>
      <c r="C2660" s="704" t="s">
        <v>565</v>
      </c>
      <c r="D2660" s="704" t="s">
        <v>521</v>
      </c>
      <c r="E2660" s="704">
        <v>1</v>
      </c>
      <c r="F2660" s="704">
        <v>100</v>
      </c>
      <c r="H2660">
        <f t="shared" si="144"/>
        <v>6477</v>
      </c>
      <c r="I2660" t="str">
        <f t="shared" si="145"/>
        <v>Rest of WA</v>
      </c>
    </row>
    <row r="2661" spans="1:9" x14ac:dyDescent="0.2">
      <c r="A2661" s="704">
        <v>6479</v>
      </c>
      <c r="B2661" s="704">
        <v>6479</v>
      </c>
      <c r="C2661" s="704" t="s">
        <v>565</v>
      </c>
      <c r="D2661" s="704" t="s">
        <v>521</v>
      </c>
      <c r="E2661" s="704">
        <v>1</v>
      </c>
      <c r="F2661" s="704">
        <v>100</v>
      </c>
      <c r="H2661">
        <f t="shared" si="144"/>
        <v>6479</v>
      </c>
      <c r="I2661" t="str">
        <f t="shared" si="145"/>
        <v>Rest of WA</v>
      </c>
    </row>
    <row r="2662" spans="1:9" x14ac:dyDescent="0.2">
      <c r="A2662" s="704">
        <v>6480</v>
      </c>
      <c r="B2662" s="704">
        <v>6480</v>
      </c>
      <c r="C2662" s="704" t="s">
        <v>565</v>
      </c>
      <c r="D2662" s="704" t="s">
        <v>521</v>
      </c>
      <c r="E2662" s="704">
        <v>1</v>
      </c>
      <c r="F2662" s="704">
        <v>100</v>
      </c>
      <c r="H2662">
        <f t="shared" si="144"/>
        <v>6480</v>
      </c>
      <c r="I2662" t="str">
        <f t="shared" si="145"/>
        <v>Rest of WA</v>
      </c>
    </row>
    <row r="2663" spans="1:9" x14ac:dyDescent="0.2">
      <c r="A2663" s="704">
        <v>6484</v>
      </c>
      <c r="B2663" s="704">
        <v>6484</v>
      </c>
      <c r="C2663" s="704" t="s">
        <v>565</v>
      </c>
      <c r="D2663" s="704" t="s">
        <v>521</v>
      </c>
      <c r="E2663" s="704">
        <v>1</v>
      </c>
      <c r="F2663" s="704">
        <v>100</v>
      </c>
      <c r="H2663">
        <f t="shared" si="144"/>
        <v>6484</v>
      </c>
      <c r="I2663" t="str">
        <f t="shared" si="145"/>
        <v>Rest of WA</v>
      </c>
    </row>
    <row r="2664" spans="1:9" x14ac:dyDescent="0.2">
      <c r="A2664" s="704">
        <v>6485</v>
      </c>
      <c r="B2664" s="704">
        <v>6485</v>
      </c>
      <c r="C2664" s="704" t="s">
        <v>565</v>
      </c>
      <c r="D2664" s="704" t="s">
        <v>521</v>
      </c>
      <c r="E2664" s="704">
        <v>1</v>
      </c>
      <c r="F2664" s="704">
        <v>100</v>
      </c>
      <c r="H2664">
        <f t="shared" si="144"/>
        <v>6485</v>
      </c>
      <c r="I2664" t="str">
        <f t="shared" si="145"/>
        <v>Rest of WA</v>
      </c>
    </row>
    <row r="2665" spans="1:9" x14ac:dyDescent="0.2">
      <c r="A2665" s="704">
        <v>6487</v>
      </c>
      <c r="B2665" s="704">
        <v>6487</v>
      </c>
      <c r="C2665" s="704" t="s">
        <v>565</v>
      </c>
      <c r="D2665" s="704" t="s">
        <v>521</v>
      </c>
      <c r="E2665" s="704">
        <v>1</v>
      </c>
      <c r="F2665" s="704">
        <v>100</v>
      </c>
      <c r="H2665">
        <f t="shared" si="144"/>
        <v>6487</v>
      </c>
      <c r="I2665" t="str">
        <f t="shared" si="145"/>
        <v>Rest of WA</v>
      </c>
    </row>
    <row r="2666" spans="1:9" x14ac:dyDescent="0.2">
      <c r="A2666" s="704">
        <v>6488</v>
      </c>
      <c r="B2666" s="704">
        <v>6488</v>
      </c>
      <c r="C2666" s="704" t="s">
        <v>565</v>
      </c>
      <c r="D2666" s="704" t="s">
        <v>521</v>
      </c>
      <c r="E2666" s="704">
        <v>1</v>
      </c>
      <c r="F2666" s="704">
        <v>100</v>
      </c>
      <c r="H2666">
        <f t="shared" si="144"/>
        <v>6488</v>
      </c>
      <c r="I2666" t="str">
        <f t="shared" si="145"/>
        <v>Rest of WA</v>
      </c>
    </row>
    <row r="2667" spans="1:9" x14ac:dyDescent="0.2">
      <c r="A2667" s="704">
        <v>6489</v>
      </c>
      <c r="B2667" s="704">
        <v>6489</v>
      </c>
      <c r="C2667" s="704" t="s">
        <v>565</v>
      </c>
      <c r="D2667" s="704" t="s">
        <v>521</v>
      </c>
      <c r="E2667" s="704">
        <v>1</v>
      </c>
      <c r="F2667" s="704">
        <v>100</v>
      </c>
      <c r="H2667">
        <f t="shared" si="144"/>
        <v>6489</v>
      </c>
      <c r="I2667" t="str">
        <f t="shared" si="145"/>
        <v>Rest of WA</v>
      </c>
    </row>
    <row r="2668" spans="1:9" x14ac:dyDescent="0.2">
      <c r="A2668" s="704">
        <v>6490</v>
      </c>
      <c r="B2668" s="704">
        <v>6490</v>
      </c>
      <c r="C2668" s="704" t="s">
        <v>565</v>
      </c>
      <c r="D2668" s="704" t="s">
        <v>521</v>
      </c>
      <c r="E2668" s="704">
        <v>1</v>
      </c>
      <c r="F2668" s="704">
        <v>100</v>
      </c>
      <c r="H2668">
        <f t="shared" si="144"/>
        <v>6490</v>
      </c>
      <c r="I2668" t="str">
        <f t="shared" si="145"/>
        <v>Rest of WA</v>
      </c>
    </row>
    <row r="2669" spans="1:9" x14ac:dyDescent="0.2">
      <c r="A2669" s="704">
        <v>6501</v>
      </c>
      <c r="B2669" s="704">
        <v>6501</v>
      </c>
      <c r="C2669" s="704" t="s">
        <v>565</v>
      </c>
      <c r="D2669" s="704" t="s">
        <v>521</v>
      </c>
      <c r="E2669" s="704">
        <v>1</v>
      </c>
      <c r="F2669" s="704">
        <v>100</v>
      </c>
      <c r="H2669">
        <f t="shared" si="144"/>
        <v>6501</v>
      </c>
      <c r="I2669" t="str">
        <f t="shared" si="145"/>
        <v>Rest of WA</v>
      </c>
    </row>
    <row r="2670" spans="1:9" x14ac:dyDescent="0.2">
      <c r="A2670" s="704">
        <v>6502</v>
      </c>
      <c r="B2670" s="704">
        <v>6502</v>
      </c>
      <c r="C2670" s="704" t="s">
        <v>565</v>
      </c>
      <c r="D2670" s="704" t="s">
        <v>521</v>
      </c>
      <c r="E2670" s="704">
        <v>1</v>
      </c>
      <c r="F2670" s="704">
        <v>100</v>
      </c>
      <c r="H2670">
        <f t="shared" si="144"/>
        <v>6502</v>
      </c>
      <c r="I2670" t="str">
        <f t="shared" si="145"/>
        <v>Rest of WA</v>
      </c>
    </row>
    <row r="2671" spans="1:9" x14ac:dyDescent="0.2">
      <c r="A2671" s="704">
        <v>6503</v>
      </c>
      <c r="B2671" s="704">
        <v>6503</v>
      </c>
      <c r="C2671" s="704" t="s">
        <v>565</v>
      </c>
      <c r="D2671" s="704" t="s">
        <v>521</v>
      </c>
      <c r="E2671" s="704">
        <v>1</v>
      </c>
      <c r="F2671" s="704">
        <v>100</v>
      </c>
      <c r="H2671">
        <f t="shared" si="144"/>
        <v>6503</v>
      </c>
      <c r="I2671" t="str">
        <f t="shared" si="145"/>
        <v>Rest of WA</v>
      </c>
    </row>
    <row r="2672" spans="1:9" x14ac:dyDescent="0.2">
      <c r="A2672" s="704">
        <v>6504</v>
      </c>
      <c r="B2672" s="704">
        <v>6504</v>
      </c>
      <c r="C2672" s="704" t="s">
        <v>565</v>
      </c>
      <c r="D2672" s="704" t="s">
        <v>521</v>
      </c>
      <c r="E2672" s="704">
        <v>1</v>
      </c>
      <c r="F2672" s="704">
        <v>100</v>
      </c>
      <c r="H2672">
        <f t="shared" si="144"/>
        <v>6504</v>
      </c>
      <c r="I2672" t="str">
        <f t="shared" si="145"/>
        <v>Rest of WA</v>
      </c>
    </row>
    <row r="2673" spans="1:9" x14ac:dyDescent="0.2">
      <c r="A2673" s="704">
        <v>6505</v>
      </c>
      <c r="B2673" s="704">
        <v>6505</v>
      </c>
      <c r="C2673" s="704" t="s">
        <v>565</v>
      </c>
      <c r="D2673" s="704" t="s">
        <v>521</v>
      </c>
      <c r="E2673" s="704">
        <v>1</v>
      </c>
      <c r="F2673" s="704">
        <v>100</v>
      </c>
      <c r="H2673">
        <f t="shared" si="144"/>
        <v>6505</v>
      </c>
      <c r="I2673" t="str">
        <f t="shared" si="145"/>
        <v>Rest of WA</v>
      </c>
    </row>
    <row r="2674" spans="1:9" x14ac:dyDescent="0.2">
      <c r="A2674" s="704">
        <v>6506</v>
      </c>
      <c r="B2674" s="704">
        <v>6506</v>
      </c>
      <c r="C2674" s="704" t="s">
        <v>565</v>
      </c>
      <c r="D2674" s="704" t="s">
        <v>521</v>
      </c>
      <c r="E2674" s="704">
        <v>1</v>
      </c>
      <c r="F2674" s="704">
        <v>100</v>
      </c>
      <c r="H2674">
        <f t="shared" si="144"/>
        <v>6506</v>
      </c>
      <c r="I2674" t="str">
        <f t="shared" si="145"/>
        <v>Rest of WA</v>
      </c>
    </row>
    <row r="2675" spans="1:9" x14ac:dyDescent="0.2">
      <c r="A2675" s="704">
        <v>6507</v>
      </c>
      <c r="B2675" s="704">
        <v>6507</v>
      </c>
      <c r="C2675" s="704" t="s">
        <v>565</v>
      </c>
      <c r="D2675" s="704" t="s">
        <v>521</v>
      </c>
      <c r="E2675" s="704">
        <v>1</v>
      </c>
      <c r="F2675" s="704">
        <v>100</v>
      </c>
      <c r="H2675">
        <f t="shared" si="144"/>
        <v>6507</v>
      </c>
      <c r="I2675" t="str">
        <f t="shared" si="145"/>
        <v>Rest of WA</v>
      </c>
    </row>
    <row r="2676" spans="1:9" x14ac:dyDescent="0.2">
      <c r="A2676" s="704">
        <v>6509</v>
      </c>
      <c r="B2676" s="704">
        <v>6509</v>
      </c>
      <c r="C2676" s="704" t="s">
        <v>565</v>
      </c>
      <c r="D2676" s="704" t="s">
        <v>521</v>
      </c>
      <c r="E2676" s="704">
        <v>1</v>
      </c>
      <c r="F2676" s="704">
        <v>100</v>
      </c>
      <c r="H2676">
        <f t="shared" si="144"/>
        <v>6509</v>
      </c>
      <c r="I2676" t="str">
        <f t="shared" si="145"/>
        <v>Rest of WA</v>
      </c>
    </row>
    <row r="2677" spans="1:9" x14ac:dyDescent="0.2">
      <c r="A2677" s="704">
        <v>6510</v>
      </c>
      <c r="B2677" s="704">
        <v>6510</v>
      </c>
      <c r="C2677" s="704" t="s">
        <v>565</v>
      </c>
      <c r="D2677" s="704" t="s">
        <v>521</v>
      </c>
      <c r="E2677" s="704">
        <v>1</v>
      </c>
      <c r="F2677" s="704">
        <v>100</v>
      </c>
      <c r="H2677">
        <f t="shared" si="144"/>
        <v>6510</v>
      </c>
      <c r="I2677" t="str">
        <f t="shared" si="145"/>
        <v>Rest of WA</v>
      </c>
    </row>
    <row r="2678" spans="1:9" x14ac:dyDescent="0.2">
      <c r="A2678" s="704">
        <v>6511</v>
      </c>
      <c r="B2678" s="704">
        <v>6511</v>
      </c>
      <c r="C2678" s="704" t="s">
        <v>565</v>
      </c>
      <c r="D2678" s="704" t="s">
        <v>521</v>
      </c>
      <c r="E2678" s="704">
        <v>1</v>
      </c>
      <c r="F2678" s="704">
        <v>100</v>
      </c>
      <c r="H2678">
        <f t="shared" si="144"/>
        <v>6511</v>
      </c>
      <c r="I2678" t="str">
        <f t="shared" si="145"/>
        <v>Rest of WA</v>
      </c>
    </row>
    <row r="2679" spans="1:9" x14ac:dyDescent="0.2">
      <c r="A2679" s="704">
        <v>6512</v>
      </c>
      <c r="B2679" s="704">
        <v>6512</v>
      </c>
      <c r="C2679" s="704" t="s">
        <v>565</v>
      </c>
      <c r="D2679" s="704" t="s">
        <v>521</v>
      </c>
      <c r="E2679" s="704">
        <v>1</v>
      </c>
      <c r="F2679" s="704">
        <v>100</v>
      </c>
      <c r="H2679">
        <f t="shared" si="144"/>
        <v>6512</v>
      </c>
      <c r="I2679" t="str">
        <f t="shared" si="145"/>
        <v>Rest of WA</v>
      </c>
    </row>
    <row r="2680" spans="1:9" x14ac:dyDescent="0.2">
      <c r="A2680" s="704">
        <v>6513</v>
      </c>
      <c r="B2680" s="704">
        <v>6513</v>
      </c>
      <c r="C2680" s="704" t="s">
        <v>565</v>
      </c>
      <c r="D2680" s="704" t="s">
        <v>521</v>
      </c>
      <c r="E2680" s="704">
        <v>1</v>
      </c>
      <c r="F2680" s="704">
        <v>100</v>
      </c>
      <c r="H2680">
        <f t="shared" si="144"/>
        <v>6513</v>
      </c>
      <c r="I2680" t="str">
        <f t="shared" si="145"/>
        <v>Rest of WA</v>
      </c>
    </row>
    <row r="2681" spans="1:9" x14ac:dyDescent="0.2">
      <c r="A2681" s="704">
        <v>6514</v>
      </c>
      <c r="B2681" s="704">
        <v>6514</v>
      </c>
      <c r="C2681" s="704" t="s">
        <v>565</v>
      </c>
      <c r="D2681" s="704" t="s">
        <v>521</v>
      </c>
      <c r="E2681" s="704">
        <v>0.99999800000000005</v>
      </c>
      <c r="F2681" s="704">
        <v>99.999799999999993</v>
      </c>
      <c r="H2681">
        <f t="shared" ref="H2681:H2744" si="146">A2681*1</f>
        <v>6514</v>
      </c>
      <c r="I2681" t="str">
        <f t="shared" ref="I2681:I2744" si="147">D2681</f>
        <v>Rest of WA</v>
      </c>
    </row>
    <row r="2682" spans="1:9" x14ac:dyDescent="0.2">
      <c r="A2682" s="704">
        <v>6515</v>
      </c>
      <c r="B2682" s="704">
        <v>6515</v>
      </c>
      <c r="C2682" s="704" t="s">
        <v>565</v>
      </c>
      <c r="D2682" s="704" t="s">
        <v>521</v>
      </c>
      <c r="E2682" s="704">
        <v>1</v>
      </c>
      <c r="F2682" s="704">
        <v>100</v>
      </c>
      <c r="H2682">
        <f t="shared" si="146"/>
        <v>6515</v>
      </c>
      <c r="I2682" t="str">
        <f t="shared" si="147"/>
        <v>Rest of WA</v>
      </c>
    </row>
    <row r="2683" spans="1:9" x14ac:dyDescent="0.2">
      <c r="A2683" s="704">
        <v>6516</v>
      </c>
      <c r="B2683" s="704">
        <v>6516</v>
      </c>
      <c r="C2683" s="704" t="s">
        <v>565</v>
      </c>
      <c r="D2683" s="704" t="s">
        <v>521</v>
      </c>
      <c r="E2683" s="704">
        <v>1</v>
      </c>
      <c r="F2683" s="704">
        <v>100</v>
      </c>
      <c r="H2683">
        <f t="shared" si="146"/>
        <v>6516</v>
      </c>
      <c r="I2683" t="str">
        <f t="shared" si="147"/>
        <v>Rest of WA</v>
      </c>
    </row>
    <row r="2684" spans="1:9" x14ac:dyDescent="0.2">
      <c r="A2684" s="704">
        <v>6517</v>
      </c>
      <c r="B2684" s="704">
        <v>6517</v>
      </c>
      <c r="C2684" s="704" t="s">
        <v>565</v>
      </c>
      <c r="D2684" s="704" t="s">
        <v>521</v>
      </c>
      <c r="E2684" s="704">
        <v>1</v>
      </c>
      <c r="F2684" s="704">
        <v>100</v>
      </c>
      <c r="H2684">
        <f t="shared" si="146"/>
        <v>6517</v>
      </c>
      <c r="I2684" t="str">
        <f t="shared" si="147"/>
        <v>Rest of WA</v>
      </c>
    </row>
    <row r="2685" spans="1:9" x14ac:dyDescent="0.2">
      <c r="A2685" s="704">
        <v>6518</v>
      </c>
      <c r="B2685" s="704">
        <v>6518</v>
      </c>
      <c r="C2685" s="704" t="s">
        <v>565</v>
      </c>
      <c r="D2685" s="704" t="s">
        <v>521</v>
      </c>
      <c r="E2685" s="704">
        <v>1</v>
      </c>
      <c r="F2685" s="704">
        <v>100</v>
      </c>
      <c r="H2685">
        <f t="shared" si="146"/>
        <v>6518</v>
      </c>
      <c r="I2685" t="str">
        <f t="shared" si="147"/>
        <v>Rest of WA</v>
      </c>
    </row>
    <row r="2686" spans="1:9" x14ac:dyDescent="0.2">
      <c r="A2686" s="704">
        <v>6519</v>
      </c>
      <c r="B2686" s="704">
        <v>6519</v>
      </c>
      <c r="C2686" s="704" t="s">
        <v>565</v>
      </c>
      <c r="D2686" s="704" t="s">
        <v>521</v>
      </c>
      <c r="E2686" s="704">
        <v>1</v>
      </c>
      <c r="F2686" s="704">
        <v>100</v>
      </c>
      <c r="H2686">
        <f t="shared" si="146"/>
        <v>6519</v>
      </c>
      <c r="I2686" t="str">
        <f t="shared" si="147"/>
        <v>Rest of WA</v>
      </c>
    </row>
    <row r="2687" spans="1:9" x14ac:dyDescent="0.2">
      <c r="A2687" s="704">
        <v>6521</v>
      </c>
      <c r="B2687" s="704">
        <v>6521</v>
      </c>
      <c r="C2687" s="704" t="s">
        <v>565</v>
      </c>
      <c r="D2687" s="704" t="s">
        <v>521</v>
      </c>
      <c r="E2687" s="704">
        <v>1</v>
      </c>
      <c r="F2687" s="704">
        <v>100</v>
      </c>
      <c r="H2687">
        <f t="shared" si="146"/>
        <v>6521</v>
      </c>
      <c r="I2687" t="str">
        <f t="shared" si="147"/>
        <v>Rest of WA</v>
      </c>
    </row>
    <row r="2688" spans="1:9" x14ac:dyDescent="0.2">
      <c r="A2688" s="704">
        <v>6522</v>
      </c>
      <c r="B2688" s="704">
        <v>6522</v>
      </c>
      <c r="C2688" s="704" t="s">
        <v>565</v>
      </c>
      <c r="D2688" s="704" t="s">
        <v>521</v>
      </c>
      <c r="E2688" s="704">
        <v>1</v>
      </c>
      <c r="F2688" s="704">
        <v>100</v>
      </c>
      <c r="H2688">
        <f t="shared" si="146"/>
        <v>6522</v>
      </c>
      <c r="I2688" t="str">
        <f t="shared" si="147"/>
        <v>Rest of WA</v>
      </c>
    </row>
    <row r="2689" spans="1:9" x14ac:dyDescent="0.2">
      <c r="A2689" s="704">
        <v>6525</v>
      </c>
      <c r="B2689" s="704">
        <v>6525</v>
      </c>
      <c r="C2689" s="704" t="s">
        <v>565</v>
      </c>
      <c r="D2689" s="704" t="s">
        <v>521</v>
      </c>
      <c r="E2689" s="704">
        <v>1</v>
      </c>
      <c r="F2689" s="704">
        <v>100</v>
      </c>
      <c r="H2689">
        <f t="shared" si="146"/>
        <v>6525</v>
      </c>
      <c r="I2689" t="str">
        <f t="shared" si="147"/>
        <v>Rest of WA</v>
      </c>
    </row>
    <row r="2690" spans="1:9" x14ac:dyDescent="0.2">
      <c r="A2690" s="704">
        <v>6528</v>
      </c>
      <c r="B2690" s="704">
        <v>6528</v>
      </c>
      <c r="C2690" s="704" t="s">
        <v>565</v>
      </c>
      <c r="D2690" s="704" t="s">
        <v>521</v>
      </c>
      <c r="E2690" s="704">
        <v>1</v>
      </c>
      <c r="F2690" s="704">
        <v>100</v>
      </c>
      <c r="H2690">
        <f t="shared" si="146"/>
        <v>6528</v>
      </c>
      <c r="I2690" t="str">
        <f t="shared" si="147"/>
        <v>Rest of WA</v>
      </c>
    </row>
    <row r="2691" spans="1:9" x14ac:dyDescent="0.2">
      <c r="A2691" s="704">
        <v>6530</v>
      </c>
      <c r="B2691" s="704">
        <v>6530</v>
      </c>
      <c r="C2691" s="704" t="s">
        <v>565</v>
      </c>
      <c r="D2691" s="704" t="s">
        <v>521</v>
      </c>
      <c r="E2691" s="704">
        <v>0.99974300000000005</v>
      </c>
      <c r="F2691" s="704">
        <v>99.974299999999999</v>
      </c>
      <c r="H2691">
        <f t="shared" si="146"/>
        <v>6530</v>
      </c>
      <c r="I2691" t="str">
        <f t="shared" si="147"/>
        <v>Rest of WA</v>
      </c>
    </row>
    <row r="2692" spans="1:9" x14ac:dyDescent="0.2">
      <c r="A2692" s="704">
        <v>6532</v>
      </c>
      <c r="B2692" s="704">
        <v>6532</v>
      </c>
      <c r="C2692" s="704" t="s">
        <v>565</v>
      </c>
      <c r="D2692" s="704" t="s">
        <v>521</v>
      </c>
      <c r="E2692" s="704">
        <v>0.99999700000000002</v>
      </c>
      <c r="F2692" s="704">
        <v>99.999700000000004</v>
      </c>
      <c r="H2692">
        <f t="shared" si="146"/>
        <v>6532</v>
      </c>
      <c r="I2692" t="str">
        <f t="shared" si="147"/>
        <v>Rest of WA</v>
      </c>
    </row>
    <row r="2693" spans="1:9" x14ac:dyDescent="0.2">
      <c r="A2693" s="704">
        <v>6535</v>
      </c>
      <c r="B2693" s="704">
        <v>6535</v>
      </c>
      <c r="C2693" s="704" t="s">
        <v>565</v>
      </c>
      <c r="D2693" s="704" t="s">
        <v>521</v>
      </c>
      <c r="E2693" s="704">
        <v>1</v>
      </c>
      <c r="F2693" s="704">
        <v>100</v>
      </c>
      <c r="H2693">
        <f t="shared" si="146"/>
        <v>6535</v>
      </c>
      <c r="I2693" t="str">
        <f t="shared" si="147"/>
        <v>Rest of WA</v>
      </c>
    </row>
    <row r="2694" spans="1:9" x14ac:dyDescent="0.2">
      <c r="A2694" s="704">
        <v>6536</v>
      </c>
      <c r="B2694" s="704">
        <v>6536</v>
      </c>
      <c r="C2694" s="704" t="s">
        <v>565</v>
      </c>
      <c r="D2694" s="704" t="s">
        <v>521</v>
      </c>
      <c r="E2694" s="704">
        <v>1</v>
      </c>
      <c r="F2694" s="704">
        <v>100</v>
      </c>
      <c r="H2694">
        <f t="shared" si="146"/>
        <v>6536</v>
      </c>
      <c r="I2694" t="str">
        <f t="shared" si="147"/>
        <v>Rest of WA</v>
      </c>
    </row>
    <row r="2695" spans="1:9" x14ac:dyDescent="0.2">
      <c r="A2695" s="704">
        <v>6537</v>
      </c>
      <c r="B2695" s="704">
        <v>6537</v>
      </c>
      <c r="C2695" s="704" t="s">
        <v>565</v>
      </c>
      <c r="D2695" s="704" t="s">
        <v>521</v>
      </c>
      <c r="E2695" s="704">
        <v>0.98505100000000001</v>
      </c>
      <c r="F2695" s="704">
        <v>98.505099999999999</v>
      </c>
      <c r="H2695">
        <f t="shared" si="146"/>
        <v>6537</v>
      </c>
      <c r="I2695" t="str">
        <f t="shared" si="147"/>
        <v>Rest of WA</v>
      </c>
    </row>
    <row r="2696" spans="1:9" x14ac:dyDescent="0.2">
      <c r="A2696" s="704">
        <v>6556</v>
      </c>
      <c r="B2696" s="704">
        <v>6556</v>
      </c>
      <c r="C2696" s="704" t="s">
        <v>586</v>
      </c>
      <c r="D2696" s="704" t="s">
        <v>552</v>
      </c>
      <c r="E2696" s="704">
        <v>1</v>
      </c>
      <c r="F2696" s="704">
        <v>100</v>
      </c>
      <c r="H2696">
        <f t="shared" si="146"/>
        <v>6556</v>
      </c>
      <c r="I2696" t="str">
        <f t="shared" si="147"/>
        <v>Greater Perth</v>
      </c>
    </row>
    <row r="2697" spans="1:9" x14ac:dyDescent="0.2">
      <c r="A2697" s="704">
        <v>6558</v>
      </c>
      <c r="B2697" s="704">
        <v>6558</v>
      </c>
      <c r="C2697" s="704" t="s">
        <v>586</v>
      </c>
      <c r="D2697" s="704" t="s">
        <v>552</v>
      </c>
      <c r="E2697" s="704">
        <v>0.99835700000000005</v>
      </c>
      <c r="F2697" s="704">
        <v>99.835700000000003</v>
      </c>
      <c r="H2697">
        <f t="shared" si="146"/>
        <v>6558</v>
      </c>
      <c r="I2697" t="str">
        <f t="shared" si="147"/>
        <v>Greater Perth</v>
      </c>
    </row>
    <row r="2698" spans="1:9" x14ac:dyDescent="0.2">
      <c r="A2698" s="704">
        <v>6558</v>
      </c>
      <c r="B2698" s="704">
        <v>6558</v>
      </c>
      <c r="C2698" s="704" t="s">
        <v>565</v>
      </c>
      <c r="D2698" s="704" t="s">
        <v>521</v>
      </c>
      <c r="E2698" s="704">
        <v>1.6433999999999999E-3</v>
      </c>
      <c r="F2698" s="704">
        <v>0.16433800000000001</v>
      </c>
      <c r="H2698">
        <f t="shared" si="146"/>
        <v>6558</v>
      </c>
      <c r="I2698" t="str">
        <f t="shared" si="147"/>
        <v>Rest of WA</v>
      </c>
    </row>
    <row r="2699" spans="1:9" x14ac:dyDescent="0.2">
      <c r="A2699" s="704">
        <v>6560</v>
      </c>
      <c r="B2699" s="704">
        <v>6560</v>
      </c>
      <c r="C2699" s="704" t="s">
        <v>586</v>
      </c>
      <c r="D2699" s="704" t="s">
        <v>552</v>
      </c>
      <c r="E2699" s="704">
        <v>7.6571E-3</v>
      </c>
      <c r="F2699" s="704">
        <v>0.76570700000000003</v>
      </c>
      <c r="H2699">
        <f t="shared" si="146"/>
        <v>6560</v>
      </c>
      <c r="I2699" t="str">
        <f t="shared" si="147"/>
        <v>Greater Perth</v>
      </c>
    </row>
    <row r="2700" spans="1:9" x14ac:dyDescent="0.2">
      <c r="A2700" s="704">
        <v>6560</v>
      </c>
      <c r="B2700" s="704">
        <v>6560</v>
      </c>
      <c r="C2700" s="704" t="s">
        <v>565</v>
      </c>
      <c r="D2700" s="704" t="s">
        <v>521</v>
      </c>
      <c r="E2700" s="704">
        <v>0.99234299999999998</v>
      </c>
      <c r="F2700" s="704">
        <v>99.234300000000005</v>
      </c>
      <c r="H2700">
        <f t="shared" si="146"/>
        <v>6560</v>
      </c>
      <c r="I2700" t="str">
        <f t="shared" si="147"/>
        <v>Rest of WA</v>
      </c>
    </row>
    <row r="2701" spans="1:9" x14ac:dyDescent="0.2">
      <c r="A2701" s="704">
        <v>6562</v>
      </c>
      <c r="B2701" s="704">
        <v>6562</v>
      </c>
      <c r="C2701" s="704" t="s">
        <v>565</v>
      </c>
      <c r="D2701" s="704" t="s">
        <v>521</v>
      </c>
      <c r="E2701" s="704">
        <v>1</v>
      </c>
      <c r="F2701" s="704">
        <v>100</v>
      </c>
      <c r="H2701">
        <f t="shared" si="146"/>
        <v>6562</v>
      </c>
      <c r="I2701" t="str">
        <f t="shared" si="147"/>
        <v>Rest of WA</v>
      </c>
    </row>
    <row r="2702" spans="1:9" x14ac:dyDescent="0.2">
      <c r="A2702" s="704">
        <v>6564</v>
      </c>
      <c r="B2702" s="704">
        <v>6564</v>
      </c>
      <c r="C2702" s="704" t="s">
        <v>565</v>
      </c>
      <c r="D2702" s="704" t="s">
        <v>521</v>
      </c>
      <c r="E2702" s="704">
        <v>1</v>
      </c>
      <c r="F2702" s="704">
        <v>100</v>
      </c>
      <c r="H2702">
        <f t="shared" si="146"/>
        <v>6564</v>
      </c>
      <c r="I2702" t="str">
        <f t="shared" si="147"/>
        <v>Rest of WA</v>
      </c>
    </row>
    <row r="2703" spans="1:9" x14ac:dyDescent="0.2">
      <c r="A2703" s="704">
        <v>6566</v>
      </c>
      <c r="B2703" s="704">
        <v>6566</v>
      </c>
      <c r="C2703" s="704" t="s">
        <v>565</v>
      </c>
      <c r="D2703" s="704" t="s">
        <v>521</v>
      </c>
      <c r="E2703" s="704">
        <v>1</v>
      </c>
      <c r="F2703" s="704">
        <v>100</v>
      </c>
      <c r="H2703">
        <f t="shared" si="146"/>
        <v>6566</v>
      </c>
      <c r="I2703" t="str">
        <f t="shared" si="147"/>
        <v>Rest of WA</v>
      </c>
    </row>
    <row r="2704" spans="1:9" x14ac:dyDescent="0.2">
      <c r="A2704" s="704">
        <v>6567</v>
      </c>
      <c r="B2704" s="704">
        <v>6567</v>
      </c>
      <c r="C2704" s="704" t="s">
        <v>565</v>
      </c>
      <c r="D2704" s="704" t="s">
        <v>521</v>
      </c>
      <c r="E2704" s="704">
        <v>1</v>
      </c>
      <c r="F2704" s="704">
        <v>100</v>
      </c>
      <c r="H2704">
        <f t="shared" si="146"/>
        <v>6567</v>
      </c>
      <c r="I2704" t="str">
        <f t="shared" si="147"/>
        <v>Rest of WA</v>
      </c>
    </row>
    <row r="2705" spans="1:9" x14ac:dyDescent="0.2">
      <c r="A2705" s="704">
        <v>6568</v>
      </c>
      <c r="B2705" s="704">
        <v>6568</v>
      </c>
      <c r="C2705" s="704" t="s">
        <v>565</v>
      </c>
      <c r="D2705" s="704" t="s">
        <v>521</v>
      </c>
      <c r="E2705" s="704">
        <v>1</v>
      </c>
      <c r="F2705" s="704">
        <v>100</v>
      </c>
      <c r="H2705">
        <f t="shared" si="146"/>
        <v>6568</v>
      </c>
      <c r="I2705" t="str">
        <f t="shared" si="147"/>
        <v>Rest of WA</v>
      </c>
    </row>
    <row r="2706" spans="1:9" x14ac:dyDescent="0.2">
      <c r="A2706" s="704">
        <v>6569</v>
      </c>
      <c r="B2706" s="704">
        <v>6569</v>
      </c>
      <c r="C2706" s="704" t="s">
        <v>565</v>
      </c>
      <c r="D2706" s="704" t="s">
        <v>521</v>
      </c>
      <c r="E2706" s="704">
        <v>1</v>
      </c>
      <c r="F2706" s="704">
        <v>100</v>
      </c>
      <c r="H2706">
        <f t="shared" si="146"/>
        <v>6569</v>
      </c>
      <c r="I2706" t="str">
        <f t="shared" si="147"/>
        <v>Rest of WA</v>
      </c>
    </row>
    <row r="2707" spans="1:9" x14ac:dyDescent="0.2">
      <c r="A2707" s="704">
        <v>6571</v>
      </c>
      <c r="B2707" s="704">
        <v>6571</v>
      </c>
      <c r="C2707" s="704" t="s">
        <v>565</v>
      </c>
      <c r="D2707" s="704" t="s">
        <v>521</v>
      </c>
      <c r="E2707" s="704">
        <v>1</v>
      </c>
      <c r="F2707" s="704">
        <v>100</v>
      </c>
      <c r="H2707">
        <f t="shared" si="146"/>
        <v>6571</v>
      </c>
      <c r="I2707" t="str">
        <f t="shared" si="147"/>
        <v>Rest of WA</v>
      </c>
    </row>
    <row r="2708" spans="1:9" x14ac:dyDescent="0.2">
      <c r="A2708" s="704">
        <v>6572</v>
      </c>
      <c r="B2708" s="704">
        <v>6572</v>
      </c>
      <c r="C2708" s="704" t="s">
        <v>565</v>
      </c>
      <c r="D2708" s="704" t="s">
        <v>521</v>
      </c>
      <c r="E2708" s="704">
        <v>1</v>
      </c>
      <c r="F2708" s="704">
        <v>100</v>
      </c>
      <c r="H2708">
        <f t="shared" si="146"/>
        <v>6572</v>
      </c>
      <c r="I2708" t="str">
        <f t="shared" si="147"/>
        <v>Rest of WA</v>
      </c>
    </row>
    <row r="2709" spans="1:9" x14ac:dyDescent="0.2">
      <c r="A2709" s="704">
        <v>6574</v>
      </c>
      <c r="B2709" s="704">
        <v>6574</v>
      </c>
      <c r="C2709" s="704" t="s">
        <v>565</v>
      </c>
      <c r="D2709" s="704" t="s">
        <v>521</v>
      </c>
      <c r="E2709" s="704">
        <v>1</v>
      </c>
      <c r="F2709" s="704">
        <v>100</v>
      </c>
      <c r="H2709">
        <f t="shared" si="146"/>
        <v>6574</v>
      </c>
      <c r="I2709" t="str">
        <f t="shared" si="147"/>
        <v>Rest of WA</v>
      </c>
    </row>
    <row r="2710" spans="1:9" x14ac:dyDescent="0.2">
      <c r="A2710" s="704">
        <v>6575</v>
      </c>
      <c r="B2710" s="704">
        <v>6575</v>
      </c>
      <c r="C2710" s="704" t="s">
        <v>565</v>
      </c>
      <c r="D2710" s="704" t="s">
        <v>521</v>
      </c>
      <c r="E2710" s="704">
        <v>1</v>
      </c>
      <c r="F2710" s="704">
        <v>100</v>
      </c>
      <c r="H2710">
        <f t="shared" si="146"/>
        <v>6575</v>
      </c>
      <c r="I2710" t="str">
        <f t="shared" si="147"/>
        <v>Rest of WA</v>
      </c>
    </row>
    <row r="2711" spans="1:9" x14ac:dyDescent="0.2">
      <c r="A2711" s="704">
        <v>6603</v>
      </c>
      <c r="B2711" s="704">
        <v>6603</v>
      </c>
      <c r="C2711" s="704" t="s">
        <v>565</v>
      </c>
      <c r="D2711" s="704" t="s">
        <v>521</v>
      </c>
      <c r="E2711" s="704">
        <v>1</v>
      </c>
      <c r="F2711" s="704">
        <v>100</v>
      </c>
      <c r="H2711">
        <f t="shared" si="146"/>
        <v>6603</v>
      </c>
      <c r="I2711" t="str">
        <f t="shared" si="147"/>
        <v>Rest of WA</v>
      </c>
    </row>
    <row r="2712" spans="1:9" x14ac:dyDescent="0.2">
      <c r="A2712" s="704">
        <v>6605</v>
      </c>
      <c r="B2712" s="704">
        <v>6605</v>
      </c>
      <c r="C2712" s="704" t="s">
        <v>565</v>
      </c>
      <c r="D2712" s="704" t="s">
        <v>521</v>
      </c>
      <c r="E2712" s="704">
        <v>1</v>
      </c>
      <c r="F2712" s="704">
        <v>100</v>
      </c>
      <c r="H2712">
        <f t="shared" si="146"/>
        <v>6605</v>
      </c>
      <c r="I2712" t="str">
        <f t="shared" si="147"/>
        <v>Rest of WA</v>
      </c>
    </row>
    <row r="2713" spans="1:9" x14ac:dyDescent="0.2">
      <c r="A2713" s="704">
        <v>6606</v>
      </c>
      <c r="B2713" s="704">
        <v>6606</v>
      </c>
      <c r="C2713" s="704" t="s">
        <v>565</v>
      </c>
      <c r="D2713" s="704" t="s">
        <v>521</v>
      </c>
      <c r="E2713" s="704">
        <v>1</v>
      </c>
      <c r="F2713" s="704">
        <v>100</v>
      </c>
      <c r="H2713">
        <f t="shared" si="146"/>
        <v>6606</v>
      </c>
      <c r="I2713" t="str">
        <f t="shared" si="147"/>
        <v>Rest of WA</v>
      </c>
    </row>
    <row r="2714" spans="1:9" x14ac:dyDescent="0.2">
      <c r="A2714" s="704">
        <v>6608</v>
      </c>
      <c r="B2714" s="704">
        <v>6608</v>
      </c>
      <c r="C2714" s="704" t="s">
        <v>565</v>
      </c>
      <c r="D2714" s="704" t="s">
        <v>521</v>
      </c>
      <c r="E2714" s="704">
        <v>1</v>
      </c>
      <c r="F2714" s="704">
        <v>100</v>
      </c>
      <c r="H2714">
        <f t="shared" si="146"/>
        <v>6608</v>
      </c>
      <c r="I2714" t="str">
        <f t="shared" si="147"/>
        <v>Rest of WA</v>
      </c>
    </row>
    <row r="2715" spans="1:9" x14ac:dyDescent="0.2">
      <c r="A2715" s="704">
        <v>6609</v>
      </c>
      <c r="B2715" s="704">
        <v>6609</v>
      </c>
      <c r="C2715" s="704" t="s">
        <v>565</v>
      </c>
      <c r="D2715" s="704" t="s">
        <v>521</v>
      </c>
      <c r="E2715" s="704">
        <v>1</v>
      </c>
      <c r="F2715" s="704">
        <v>100</v>
      </c>
      <c r="H2715">
        <f t="shared" si="146"/>
        <v>6609</v>
      </c>
      <c r="I2715" t="str">
        <f t="shared" si="147"/>
        <v>Rest of WA</v>
      </c>
    </row>
    <row r="2716" spans="1:9" x14ac:dyDescent="0.2">
      <c r="A2716" s="704">
        <v>6612</v>
      </c>
      <c r="B2716" s="704">
        <v>6612</v>
      </c>
      <c r="C2716" s="704" t="s">
        <v>565</v>
      </c>
      <c r="D2716" s="704" t="s">
        <v>521</v>
      </c>
      <c r="E2716" s="704">
        <v>1</v>
      </c>
      <c r="F2716" s="704">
        <v>100</v>
      </c>
      <c r="H2716">
        <f t="shared" si="146"/>
        <v>6612</v>
      </c>
      <c r="I2716" t="str">
        <f t="shared" si="147"/>
        <v>Rest of WA</v>
      </c>
    </row>
    <row r="2717" spans="1:9" x14ac:dyDescent="0.2">
      <c r="A2717" s="704">
        <v>6613</v>
      </c>
      <c r="B2717" s="704">
        <v>6613</v>
      </c>
      <c r="C2717" s="704" t="s">
        <v>565</v>
      </c>
      <c r="D2717" s="704" t="s">
        <v>521</v>
      </c>
      <c r="E2717" s="704">
        <v>1</v>
      </c>
      <c r="F2717" s="704">
        <v>100</v>
      </c>
      <c r="H2717">
        <f t="shared" si="146"/>
        <v>6613</v>
      </c>
      <c r="I2717" t="str">
        <f t="shared" si="147"/>
        <v>Rest of WA</v>
      </c>
    </row>
    <row r="2718" spans="1:9" x14ac:dyDescent="0.2">
      <c r="A2718" s="704">
        <v>6614</v>
      </c>
      <c r="B2718" s="704">
        <v>6614</v>
      </c>
      <c r="C2718" s="704" t="s">
        <v>565</v>
      </c>
      <c r="D2718" s="704" t="s">
        <v>521</v>
      </c>
      <c r="E2718" s="704">
        <v>1</v>
      </c>
      <c r="F2718" s="704">
        <v>100</v>
      </c>
      <c r="H2718">
        <f t="shared" si="146"/>
        <v>6614</v>
      </c>
      <c r="I2718" t="str">
        <f t="shared" si="147"/>
        <v>Rest of WA</v>
      </c>
    </row>
    <row r="2719" spans="1:9" x14ac:dyDescent="0.2">
      <c r="A2719" s="704">
        <v>6616</v>
      </c>
      <c r="B2719" s="704">
        <v>6616</v>
      </c>
      <c r="C2719" s="704" t="s">
        <v>565</v>
      </c>
      <c r="D2719" s="704" t="s">
        <v>521</v>
      </c>
      <c r="E2719" s="704">
        <v>1</v>
      </c>
      <c r="F2719" s="704">
        <v>100</v>
      </c>
      <c r="H2719">
        <f t="shared" si="146"/>
        <v>6616</v>
      </c>
      <c r="I2719" t="str">
        <f t="shared" si="147"/>
        <v>Rest of WA</v>
      </c>
    </row>
    <row r="2720" spans="1:9" x14ac:dyDescent="0.2">
      <c r="A2720" s="704">
        <v>6620</v>
      </c>
      <c r="B2720" s="704">
        <v>6620</v>
      </c>
      <c r="C2720" s="704" t="s">
        <v>565</v>
      </c>
      <c r="D2720" s="704" t="s">
        <v>521</v>
      </c>
      <c r="E2720" s="704">
        <v>1</v>
      </c>
      <c r="F2720" s="704">
        <v>100</v>
      </c>
      <c r="H2720">
        <f t="shared" si="146"/>
        <v>6620</v>
      </c>
      <c r="I2720" t="str">
        <f t="shared" si="147"/>
        <v>Rest of WA</v>
      </c>
    </row>
    <row r="2721" spans="1:9" x14ac:dyDescent="0.2">
      <c r="A2721" s="704">
        <v>6623</v>
      </c>
      <c r="B2721" s="704">
        <v>6623</v>
      </c>
      <c r="C2721" s="704" t="s">
        <v>565</v>
      </c>
      <c r="D2721" s="704" t="s">
        <v>521</v>
      </c>
      <c r="E2721" s="704">
        <v>1</v>
      </c>
      <c r="F2721" s="704">
        <v>100</v>
      </c>
      <c r="H2721">
        <f t="shared" si="146"/>
        <v>6623</v>
      </c>
      <c r="I2721" t="str">
        <f t="shared" si="147"/>
        <v>Rest of WA</v>
      </c>
    </row>
    <row r="2722" spans="1:9" x14ac:dyDescent="0.2">
      <c r="A2722" s="704">
        <v>6625</v>
      </c>
      <c r="B2722" s="704">
        <v>6625</v>
      </c>
      <c r="C2722" s="704" t="s">
        <v>565</v>
      </c>
      <c r="D2722" s="704" t="s">
        <v>521</v>
      </c>
      <c r="E2722" s="704">
        <v>1</v>
      </c>
      <c r="F2722" s="704">
        <v>100</v>
      </c>
      <c r="H2722">
        <f t="shared" si="146"/>
        <v>6625</v>
      </c>
      <c r="I2722" t="str">
        <f t="shared" si="147"/>
        <v>Rest of WA</v>
      </c>
    </row>
    <row r="2723" spans="1:9" x14ac:dyDescent="0.2">
      <c r="A2723" s="704">
        <v>6627</v>
      </c>
      <c r="B2723" s="704">
        <v>6627</v>
      </c>
      <c r="C2723" s="704" t="s">
        <v>565</v>
      </c>
      <c r="D2723" s="704" t="s">
        <v>521</v>
      </c>
      <c r="E2723" s="704">
        <v>1</v>
      </c>
      <c r="F2723" s="704">
        <v>100</v>
      </c>
      <c r="H2723">
        <f t="shared" si="146"/>
        <v>6627</v>
      </c>
      <c r="I2723" t="str">
        <f t="shared" si="147"/>
        <v>Rest of WA</v>
      </c>
    </row>
    <row r="2724" spans="1:9" x14ac:dyDescent="0.2">
      <c r="A2724" s="704">
        <v>6628</v>
      </c>
      <c r="B2724" s="704">
        <v>6628</v>
      </c>
      <c r="C2724" s="704" t="s">
        <v>565</v>
      </c>
      <c r="D2724" s="704" t="s">
        <v>521</v>
      </c>
      <c r="E2724" s="704">
        <v>1</v>
      </c>
      <c r="F2724" s="704">
        <v>100</v>
      </c>
      <c r="H2724">
        <f t="shared" si="146"/>
        <v>6628</v>
      </c>
      <c r="I2724" t="str">
        <f t="shared" si="147"/>
        <v>Rest of WA</v>
      </c>
    </row>
    <row r="2725" spans="1:9" x14ac:dyDescent="0.2">
      <c r="A2725" s="704">
        <v>6630</v>
      </c>
      <c r="B2725" s="704">
        <v>6630</v>
      </c>
      <c r="C2725" s="704" t="s">
        <v>565</v>
      </c>
      <c r="D2725" s="704" t="s">
        <v>521</v>
      </c>
      <c r="E2725" s="704">
        <v>1</v>
      </c>
      <c r="F2725" s="704">
        <v>100</v>
      </c>
      <c r="H2725">
        <f t="shared" si="146"/>
        <v>6630</v>
      </c>
      <c r="I2725" t="str">
        <f t="shared" si="147"/>
        <v>Rest of WA</v>
      </c>
    </row>
    <row r="2726" spans="1:9" x14ac:dyDescent="0.2">
      <c r="A2726" s="704">
        <v>6631</v>
      </c>
      <c r="B2726" s="704">
        <v>6631</v>
      </c>
      <c r="C2726" s="704" t="s">
        <v>565</v>
      </c>
      <c r="D2726" s="704" t="s">
        <v>521</v>
      </c>
      <c r="E2726" s="704">
        <v>1</v>
      </c>
      <c r="F2726" s="704">
        <v>100</v>
      </c>
      <c r="H2726">
        <f t="shared" si="146"/>
        <v>6631</v>
      </c>
      <c r="I2726" t="str">
        <f t="shared" si="147"/>
        <v>Rest of WA</v>
      </c>
    </row>
    <row r="2727" spans="1:9" x14ac:dyDescent="0.2">
      <c r="A2727" s="704">
        <v>6632</v>
      </c>
      <c r="B2727" s="704">
        <v>6632</v>
      </c>
      <c r="C2727" s="704" t="s">
        <v>565</v>
      </c>
      <c r="D2727" s="704" t="s">
        <v>521</v>
      </c>
      <c r="E2727" s="704">
        <v>1</v>
      </c>
      <c r="F2727" s="704">
        <v>100</v>
      </c>
      <c r="H2727">
        <f t="shared" si="146"/>
        <v>6632</v>
      </c>
      <c r="I2727" t="str">
        <f t="shared" si="147"/>
        <v>Rest of WA</v>
      </c>
    </row>
    <row r="2728" spans="1:9" x14ac:dyDescent="0.2">
      <c r="A2728" s="704">
        <v>6635</v>
      </c>
      <c r="B2728" s="704">
        <v>6635</v>
      </c>
      <c r="C2728" s="704" t="s">
        <v>565</v>
      </c>
      <c r="D2728" s="704" t="s">
        <v>521</v>
      </c>
      <c r="E2728" s="704">
        <v>1</v>
      </c>
      <c r="F2728" s="704">
        <v>100</v>
      </c>
      <c r="H2728">
        <f t="shared" si="146"/>
        <v>6635</v>
      </c>
      <c r="I2728" t="str">
        <f t="shared" si="147"/>
        <v>Rest of WA</v>
      </c>
    </row>
    <row r="2729" spans="1:9" x14ac:dyDescent="0.2">
      <c r="A2729" s="704">
        <v>6638</v>
      </c>
      <c r="B2729" s="704">
        <v>6638</v>
      </c>
      <c r="C2729" s="704" t="s">
        <v>565</v>
      </c>
      <c r="D2729" s="704" t="s">
        <v>521</v>
      </c>
      <c r="E2729" s="704">
        <v>1</v>
      </c>
      <c r="F2729" s="704">
        <v>100</v>
      </c>
      <c r="H2729">
        <f t="shared" si="146"/>
        <v>6638</v>
      </c>
      <c r="I2729" t="str">
        <f t="shared" si="147"/>
        <v>Rest of WA</v>
      </c>
    </row>
    <row r="2730" spans="1:9" x14ac:dyDescent="0.2">
      <c r="A2730" s="704">
        <v>6639</v>
      </c>
      <c r="B2730" s="704">
        <v>6639</v>
      </c>
      <c r="C2730" s="704" t="s">
        <v>565</v>
      </c>
      <c r="D2730" s="704" t="s">
        <v>521</v>
      </c>
      <c r="E2730" s="704">
        <v>1</v>
      </c>
      <c r="F2730" s="704">
        <v>100</v>
      </c>
      <c r="H2730">
        <f t="shared" si="146"/>
        <v>6639</v>
      </c>
      <c r="I2730" t="str">
        <f t="shared" si="147"/>
        <v>Rest of WA</v>
      </c>
    </row>
    <row r="2731" spans="1:9" x14ac:dyDescent="0.2">
      <c r="A2731" s="704">
        <v>6640</v>
      </c>
      <c r="B2731" s="704">
        <v>6640</v>
      </c>
      <c r="C2731" s="704" t="s">
        <v>565</v>
      </c>
      <c r="D2731" s="704" t="s">
        <v>521</v>
      </c>
      <c r="E2731" s="704">
        <v>1</v>
      </c>
      <c r="F2731" s="704">
        <v>100</v>
      </c>
      <c r="H2731">
        <f t="shared" si="146"/>
        <v>6640</v>
      </c>
      <c r="I2731" t="str">
        <f t="shared" si="147"/>
        <v>Rest of WA</v>
      </c>
    </row>
    <row r="2732" spans="1:9" x14ac:dyDescent="0.2">
      <c r="A2732" s="704">
        <v>6642</v>
      </c>
      <c r="B2732" s="704">
        <v>6642</v>
      </c>
      <c r="C2732" s="704" t="s">
        <v>565</v>
      </c>
      <c r="D2732" s="704" t="s">
        <v>521</v>
      </c>
      <c r="E2732" s="704">
        <v>1</v>
      </c>
      <c r="F2732" s="704">
        <v>100</v>
      </c>
      <c r="H2732">
        <f t="shared" si="146"/>
        <v>6642</v>
      </c>
      <c r="I2732" t="str">
        <f t="shared" si="147"/>
        <v>Rest of WA</v>
      </c>
    </row>
    <row r="2733" spans="1:9" x14ac:dyDescent="0.2">
      <c r="A2733" s="704">
        <v>6646</v>
      </c>
      <c r="B2733" s="704">
        <v>6646</v>
      </c>
      <c r="C2733" s="704" t="s">
        <v>565</v>
      </c>
      <c r="D2733" s="704" t="s">
        <v>521</v>
      </c>
      <c r="E2733" s="704">
        <v>1</v>
      </c>
      <c r="F2733" s="704">
        <v>100</v>
      </c>
      <c r="H2733">
        <f t="shared" si="146"/>
        <v>6646</v>
      </c>
      <c r="I2733" t="str">
        <f t="shared" si="147"/>
        <v>Rest of WA</v>
      </c>
    </row>
    <row r="2734" spans="1:9" x14ac:dyDescent="0.2">
      <c r="A2734" s="704">
        <v>6701</v>
      </c>
      <c r="B2734" s="704">
        <v>6701</v>
      </c>
      <c r="C2734" s="704" t="s">
        <v>565</v>
      </c>
      <c r="D2734" s="704" t="s">
        <v>521</v>
      </c>
      <c r="E2734" s="704">
        <v>0.99861500000000003</v>
      </c>
      <c r="F2734" s="704">
        <v>99.861500000000007</v>
      </c>
      <c r="H2734">
        <f t="shared" si="146"/>
        <v>6701</v>
      </c>
      <c r="I2734" t="str">
        <f t="shared" si="147"/>
        <v>Rest of WA</v>
      </c>
    </row>
    <row r="2735" spans="1:9" x14ac:dyDescent="0.2">
      <c r="A2735" s="704">
        <v>6705</v>
      </c>
      <c r="B2735" s="704">
        <v>6705</v>
      </c>
      <c r="C2735" s="704" t="s">
        <v>565</v>
      </c>
      <c r="D2735" s="704" t="s">
        <v>521</v>
      </c>
      <c r="E2735" s="704">
        <v>1</v>
      </c>
      <c r="F2735" s="704">
        <v>100</v>
      </c>
      <c r="H2735">
        <f t="shared" si="146"/>
        <v>6705</v>
      </c>
      <c r="I2735" t="str">
        <f t="shared" si="147"/>
        <v>Rest of WA</v>
      </c>
    </row>
    <row r="2736" spans="1:9" x14ac:dyDescent="0.2">
      <c r="A2736" s="704">
        <v>6707</v>
      </c>
      <c r="B2736" s="704">
        <v>6707</v>
      </c>
      <c r="C2736" s="704" t="s">
        <v>565</v>
      </c>
      <c r="D2736" s="704" t="s">
        <v>521</v>
      </c>
      <c r="E2736" s="704">
        <v>0.99948499999999996</v>
      </c>
      <c r="F2736" s="704">
        <v>99.948499999999996</v>
      </c>
      <c r="H2736">
        <f t="shared" si="146"/>
        <v>6707</v>
      </c>
      <c r="I2736" t="str">
        <f t="shared" si="147"/>
        <v>Rest of WA</v>
      </c>
    </row>
    <row r="2737" spans="1:9" x14ac:dyDescent="0.2">
      <c r="A2737" s="704">
        <v>6710</v>
      </c>
      <c r="B2737" s="704">
        <v>6710</v>
      </c>
      <c r="C2737" s="704" t="s">
        <v>565</v>
      </c>
      <c r="D2737" s="704" t="s">
        <v>521</v>
      </c>
      <c r="E2737" s="704">
        <v>0.96269199999999999</v>
      </c>
      <c r="F2737" s="704">
        <v>96.269199999999998</v>
      </c>
      <c r="H2737">
        <f t="shared" si="146"/>
        <v>6710</v>
      </c>
      <c r="I2737" t="str">
        <f t="shared" si="147"/>
        <v>Rest of WA</v>
      </c>
    </row>
    <row r="2738" spans="1:9" x14ac:dyDescent="0.2">
      <c r="A2738" s="704">
        <v>6712</v>
      </c>
      <c r="B2738" s="704">
        <v>6712</v>
      </c>
      <c r="C2738" s="704" t="s">
        <v>565</v>
      </c>
      <c r="D2738" s="704" t="s">
        <v>521</v>
      </c>
      <c r="E2738" s="704">
        <v>0.977271</v>
      </c>
      <c r="F2738" s="704">
        <v>97.727099999999993</v>
      </c>
      <c r="H2738">
        <f t="shared" si="146"/>
        <v>6712</v>
      </c>
      <c r="I2738" t="str">
        <f t="shared" si="147"/>
        <v>Rest of WA</v>
      </c>
    </row>
    <row r="2739" spans="1:9" x14ac:dyDescent="0.2">
      <c r="A2739" s="704">
        <v>6713</v>
      </c>
      <c r="B2739" s="704">
        <v>6713</v>
      </c>
      <c r="C2739" s="704" t="s">
        <v>565</v>
      </c>
      <c r="D2739" s="704" t="s">
        <v>521</v>
      </c>
      <c r="E2739" s="704">
        <v>0.999969</v>
      </c>
      <c r="F2739" s="704">
        <v>99.996899999999997</v>
      </c>
      <c r="H2739">
        <f t="shared" si="146"/>
        <v>6713</v>
      </c>
      <c r="I2739" t="str">
        <f t="shared" si="147"/>
        <v>Rest of WA</v>
      </c>
    </row>
    <row r="2740" spans="1:9" x14ac:dyDescent="0.2">
      <c r="A2740" s="704">
        <v>6714</v>
      </c>
      <c r="B2740" s="704">
        <v>6714</v>
      </c>
      <c r="C2740" s="704" t="s">
        <v>565</v>
      </c>
      <c r="D2740" s="704" t="s">
        <v>521</v>
      </c>
      <c r="E2740" s="704">
        <v>0.99997400000000003</v>
      </c>
      <c r="F2740" s="704">
        <v>99.997399999999999</v>
      </c>
      <c r="H2740">
        <f t="shared" si="146"/>
        <v>6714</v>
      </c>
      <c r="I2740" t="str">
        <f t="shared" si="147"/>
        <v>Rest of WA</v>
      </c>
    </row>
    <row r="2741" spans="1:9" x14ac:dyDescent="0.2">
      <c r="A2741" s="704">
        <v>6716</v>
      </c>
      <c r="B2741" s="704">
        <v>6716</v>
      </c>
      <c r="C2741" s="704" t="s">
        <v>565</v>
      </c>
      <c r="D2741" s="704" t="s">
        <v>521</v>
      </c>
      <c r="E2741" s="704">
        <v>1</v>
      </c>
      <c r="F2741" s="704">
        <v>100</v>
      </c>
      <c r="H2741">
        <f t="shared" si="146"/>
        <v>6716</v>
      </c>
      <c r="I2741" t="str">
        <f t="shared" si="147"/>
        <v>Rest of WA</v>
      </c>
    </row>
    <row r="2742" spans="1:9" x14ac:dyDescent="0.2">
      <c r="A2742" s="704">
        <v>6718</v>
      </c>
      <c r="B2742" s="704">
        <v>6718</v>
      </c>
      <c r="C2742" s="704" t="s">
        <v>565</v>
      </c>
      <c r="D2742" s="704" t="s">
        <v>521</v>
      </c>
      <c r="E2742" s="704">
        <v>0.99999899999999997</v>
      </c>
      <c r="F2742" s="704">
        <v>99.999899999999997</v>
      </c>
      <c r="H2742">
        <f t="shared" si="146"/>
        <v>6718</v>
      </c>
      <c r="I2742" t="str">
        <f t="shared" si="147"/>
        <v>Rest of WA</v>
      </c>
    </row>
    <row r="2743" spans="1:9" x14ac:dyDescent="0.2">
      <c r="A2743" s="704">
        <v>6720</v>
      </c>
      <c r="B2743" s="704">
        <v>6720</v>
      </c>
      <c r="C2743" s="704" t="s">
        <v>565</v>
      </c>
      <c r="D2743" s="704" t="s">
        <v>521</v>
      </c>
      <c r="E2743" s="704">
        <v>0.99999899999999997</v>
      </c>
      <c r="F2743" s="704">
        <v>99.999899999999997</v>
      </c>
      <c r="H2743">
        <f t="shared" si="146"/>
        <v>6720</v>
      </c>
      <c r="I2743" t="str">
        <f t="shared" si="147"/>
        <v>Rest of WA</v>
      </c>
    </row>
    <row r="2744" spans="1:9" x14ac:dyDescent="0.2">
      <c r="A2744" s="704">
        <v>6721</v>
      </c>
      <c r="B2744" s="704">
        <v>6721</v>
      </c>
      <c r="C2744" s="704" t="s">
        <v>565</v>
      </c>
      <c r="D2744" s="704" t="s">
        <v>521</v>
      </c>
      <c r="E2744" s="704">
        <v>0.99734999999999996</v>
      </c>
      <c r="F2744" s="704">
        <v>99.734999999999999</v>
      </c>
      <c r="H2744">
        <f t="shared" si="146"/>
        <v>6721</v>
      </c>
      <c r="I2744" t="str">
        <f t="shared" si="147"/>
        <v>Rest of WA</v>
      </c>
    </row>
    <row r="2745" spans="1:9" x14ac:dyDescent="0.2">
      <c r="A2745" s="704">
        <v>6722</v>
      </c>
      <c r="B2745" s="704">
        <v>6722</v>
      </c>
      <c r="C2745" s="704" t="s">
        <v>565</v>
      </c>
      <c r="D2745" s="704" t="s">
        <v>521</v>
      </c>
      <c r="E2745" s="704">
        <v>1</v>
      </c>
      <c r="F2745" s="704">
        <v>100</v>
      </c>
      <c r="H2745">
        <f t="shared" ref="H2745:H2808" si="148">A2745*1</f>
        <v>6722</v>
      </c>
      <c r="I2745" t="str">
        <f t="shared" ref="I2745:I2808" si="149">D2745</f>
        <v>Rest of WA</v>
      </c>
    </row>
    <row r="2746" spans="1:9" x14ac:dyDescent="0.2">
      <c r="A2746" s="704">
        <v>6725</v>
      </c>
      <c r="B2746" s="704">
        <v>6725</v>
      </c>
      <c r="C2746" s="704" t="s">
        <v>565</v>
      </c>
      <c r="D2746" s="704" t="s">
        <v>521</v>
      </c>
      <c r="E2746" s="704">
        <v>0.99977300000000002</v>
      </c>
      <c r="F2746" s="704">
        <v>99.9773</v>
      </c>
      <c r="H2746">
        <f t="shared" si="148"/>
        <v>6725</v>
      </c>
      <c r="I2746" t="str">
        <f t="shared" si="149"/>
        <v>Rest of WA</v>
      </c>
    </row>
    <row r="2747" spans="1:9" x14ac:dyDescent="0.2">
      <c r="A2747" s="704">
        <v>6726</v>
      </c>
      <c r="B2747" s="704">
        <v>6726</v>
      </c>
      <c r="C2747" s="704" t="s">
        <v>565</v>
      </c>
      <c r="D2747" s="704" t="s">
        <v>521</v>
      </c>
      <c r="E2747" s="704">
        <v>1</v>
      </c>
      <c r="F2747" s="704">
        <v>100</v>
      </c>
      <c r="H2747">
        <f t="shared" si="148"/>
        <v>6726</v>
      </c>
      <c r="I2747" t="str">
        <f t="shared" si="149"/>
        <v>Rest of WA</v>
      </c>
    </row>
    <row r="2748" spans="1:9" x14ac:dyDescent="0.2">
      <c r="A2748" s="704">
        <v>6728</v>
      </c>
      <c r="B2748" s="704">
        <v>6728</v>
      </c>
      <c r="C2748" s="704" t="s">
        <v>565</v>
      </c>
      <c r="D2748" s="704" t="s">
        <v>521</v>
      </c>
      <c r="E2748" s="704">
        <v>0.99997999999999998</v>
      </c>
      <c r="F2748" s="704">
        <v>99.998000000000005</v>
      </c>
      <c r="H2748">
        <f t="shared" si="148"/>
        <v>6728</v>
      </c>
      <c r="I2748" t="str">
        <f t="shared" si="149"/>
        <v>Rest of WA</v>
      </c>
    </row>
    <row r="2749" spans="1:9" x14ac:dyDescent="0.2">
      <c r="A2749" s="704">
        <v>6733</v>
      </c>
      <c r="B2749" s="704">
        <v>6733</v>
      </c>
      <c r="C2749" s="704" t="s">
        <v>565</v>
      </c>
      <c r="D2749" s="704" t="s">
        <v>521</v>
      </c>
      <c r="E2749" s="704">
        <v>0.97142899999999999</v>
      </c>
      <c r="F2749" s="704">
        <v>97.142899999999997</v>
      </c>
      <c r="H2749">
        <f t="shared" si="148"/>
        <v>6733</v>
      </c>
      <c r="I2749" t="str">
        <f t="shared" si="149"/>
        <v>Rest of WA</v>
      </c>
    </row>
    <row r="2750" spans="1:9" x14ac:dyDescent="0.2">
      <c r="A2750" s="704">
        <v>6740</v>
      </c>
      <c r="B2750" s="704">
        <v>6740</v>
      </c>
      <c r="C2750" s="704" t="s">
        <v>565</v>
      </c>
      <c r="D2750" s="704" t="s">
        <v>521</v>
      </c>
      <c r="E2750" s="704">
        <v>0.99984300000000004</v>
      </c>
      <c r="F2750" s="704">
        <v>99.984300000000005</v>
      </c>
      <c r="H2750">
        <f t="shared" si="148"/>
        <v>6740</v>
      </c>
      <c r="I2750" t="str">
        <f t="shared" si="149"/>
        <v>Rest of WA</v>
      </c>
    </row>
    <row r="2751" spans="1:9" x14ac:dyDescent="0.2">
      <c r="A2751" s="704">
        <v>6743</v>
      </c>
      <c r="B2751" s="704">
        <v>6743</v>
      </c>
      <c r="C2751" s="704" t="s">
        <v>565</v>
      </c>
      <c r="D2751" s="704" t="s">
        <v>521</v>
      </c>
      <c r="E2751" s="704">
        <v>0.99999800000000005</v>
      </c>
      <c r="F2751" s="704">
        <v>99.999799999999993</v>
      </c>
      <c r="H2751">
        <f t="shared" si="148"/>
        <v>6743</v>
      </c>
      <c r="I2751" t="str">
        <f t="shared" si="149"/>
        <v>Rest of WA</v>
      </c>
    </row>
    <row r="2752" spans="1:9" x14ac:dyDescent="0.2">
      <c r="A2752" s="704">
        <v>6751</v>
      </c>
      <c r="B2752" s="704">
        <v>6751</v>
      </c>
      <c r="C2752" s="704" t="s">
        <v>565</v>
      </c>
      <c r="D2752" s="704" t="s">
        <v>521</v>
      </c>
      <c r="E2752" s="704">
        <v>1</v>
      </c>
      <c r="F2752" s="704">
        <v>100</v>
      </c>
      <c r="H2752">
        <f t="shared" si="148"/>
        <v>6751</v>
      </c>
      <c r="I2752" t="str">
        <f t="shared" si="149"/>
        <v>Rest of WA</v>
      </c>
    </row>
    <row r="2753" spans="1:9" x14ac:dyDescent="0.2">
      <c r="A2753" s="704">
        <v>6753</v>
      </c>
      <c r="B2753" s="704">
        <v>6753</v>
      </c>
      <c r="C2753" s="704" t="s">
        <v>565</v>
      </c>
      <c r="D2753" s="704" t="s">
        <v>521</v>
      </c>
      <c r="E2753" s="704">
        <v>1</v>
      </c>
      <c r="F2753" s="704">
        <v>100</v>
      </c>
      <c r="H2753">
        <f t="shared" si="148"/>
        <v>6753</v>
      </c>
      <c r="I2753" t="str">
        <f t="shared" si="149"/>
        <v>Rest of WA</v>
      </c>
    </row>
    <row r="2754" spans="1:9" x14ac:dyDescent="0.2">
      <c r="A2754" s="704">
        <v>6754</v>
      </c>
      <c r="B2754" s="704">
        <v>6754</v>
      </c>
      <c r="C2754" s="704" t="s">
        <v>565</v>
      </c>
      <c r="D2754" s="704" t="s">
        <v>521</v>
      </c>
      <c r="E2754" s="704">
        <v>1</v>
      </c>
      <c r="F2754" s="704">
        <v>100</v>
      </c>
      <c r="H2754">
        <f t="shared" si="148"/>
        <v>6754</v>
      </c>
      <c r="I2754" t="str">
        <f t="shared" si="149"/>
        <v>Rest of WA</v>
      </c>
    </row>
    <row r="2755" spans="1:9" x14ac:dyDescent="0.2">
      <c r="A2755" s="704">
        <v>6758</v>
      </c>
      <c r="B2755" s="704">
        <v>6758</v>
      </c>
      <c r="C2755" s="704" t="s">
        <v>565</v>
      </c>
      <c r="D2755" s="704" t="s">
        <v>521</v>
      </c>
      <c r="E2755" s="704">
        <v>1</v>
      </c>
      <c r="F2755" s="704">
        <v>100</v>
      </c>
      <c r="H2755">
        <f t="shared" si="148"/>
        <v>6758</v>
      </c>
      <c r="I2755" t="str">
        <f t="shared" si="149"/>
        <v>Rest of WA</v>
      </c>
    </row>
    <row r="2756" spans="1:9" x14ac:dyDescent="0.2">
      <c r="A2756" s="704">
        <v>6760</v>
      </c>
      <c r="B2756" s="704">
        <v>6760</v>
      </c>
      <c r="C2756" s="704" t="s">
        <v>565</v>
      </c>
      <c r="D2756" s="704" t="s">
        <v>521</v>
      </c>
      <c r="E2756" s="704">
        <v>1</v>
      </c>
      <c r="F2756" s="704">
        <v>100</v>
      </c>
      <c r="H2756">
        <f t="shared" si="148"/>
        <v>6760</v>
      </c>
      <c r="I2756" t="str">
        <f t="shared" si="149"/>
        <v>Rest of WA</v>
      </c>
    </row>
    <row r="2757" spans="1:9" x14ac:dyDescent="0.2">
      <c r="A2757" s="704">
        <v>6762</v>
      </c>
      <c r="B2757" s="704">
        <v>6762</v>
      </c>
      <c r="C2757" s="704" t="s">
        <v>565</v>
      </c>
      <c r="D2757" s="704" t="s">
        <v>521</v>
      </c>
      <c r="E2757" s="704">
        <v>1</v>
      </c>
      <c r="F2757" s="704">
        <v>100</v>
      </c>
      <c r="H2757">
        <f t="shared" si="148"/>
        <v>6762</v>
      </c>
      <c r="I2757" t="str">
        <f t="shared" si="149"/>
        <v>Rest of WA</v>
      </c>
    </row>
    <row r="2758" spans="1:9" x14ac:dyDescent="0.2">
      <c r="A2758" s="704">
        <v>6765</v>
      </c>
      <c r="B2758" s="704">
        <v>6765</v>
      </c>
      <c r="C2758" s="704" t="s">
        <v>565</v>
      </c>
      <c r="D2758" s="704" t="s">
        <v>521</v>
      </c>
      <c r="E2758" s="704">
        <v>1</v>
      </c>
      <c r="F2758" s="704">
        <v>100</v>
      </c>
      <c r="H2758">
        <f t="shared" si="148"/>
        <v>6765</v>
      </c>
      <c r="I2758" t="str">
        <f t="shared" si="149"/>
        <v>Rest of WA</v>
      </c>
    </row>
    <row r="2759" spans="1:9" x14ac:dyDescent="0.2">
      <c r="A2759" s="704">
        <v>6770</v>
      </c>
      <c r="B2759" s="704">
        <v>6770</v>
      </c>
      <c r="C2759" s="704" t="s">
        <v>565</v>
      </c>
      <c r="D2759" s="704" t="s">
        <v>521</v>
      </c>
      <c r="E2759" s="704">
        <v>1</v>
      </c>
      <c r="F2759" s="704">
        <v>100</v>
      </c>
      <c r="H2759">
        <f t="shared" si="148"/>
        <v>6770</v>
      </c>
      <c r="I2759" t="str">
        <f t="shared" si="149"/>
        <v>Rest of WA</v>
      </c>
    </row>
    <row r="2760" spans="1:9" x14ac:dyDescent="0.2">
      <c r="A2760" s="704">
        <v>6798</v>
      </c>
      <c r="B2760" s="704">
        <v>6798</v>
      </c>
      <c r="C2760" s="704" t="s">
        <v>580</v>
      </c>
      <c r="D2760" s="704" t="s">
        <v>537</v>
      </c>
      <c r="E2760" s="704">
        <v>1</v>
      </c>
      <c r="F2760" s="704">
        <v>100</v>
      </c>
      <c r="H2760">
        <f t="shared" si="148"/>
        <v>6798</v>
      </c>
      <c r="I2760" t="str">
        <f t="shared" si="149"/>
        <v>Other Territories</v>
      </c>
    </row>
    <row r="2761" spans="1:9" x14ac:dyDescent="0.2">
      <c r="A2761" s="704">
        <v>6799</v>
      </c>
      <c r="B2761" s="704">
        <v>6799</v>
      </c>
      <c r="C2761" s="704" t="s">
        <v>580</v>
      </c>
      <c r="D2761" s="704" t="s">
        <v>537</v>
      </c>
      <c r="E2761" s="704">
        <v>0.99998399999999998</v>
      </c>
      <c r="F2761" s="704">
        <v>99.9983</v>
      </c>
      <c r="H2761">
        <f t="shared" si="148"/>
        <v>6799</v>
      </c>
      <c r="I2761" t="str">
        <f t="shared" si="149"/>
        <v>Other Territories</v>
      </c>
    </row>
    <row r="2762" spans="1:9" x14ac:dyDescent="0.2">
      <c r="A2762" s="704">
        <v>6907</v>
      </c>
      <c r="B2762" s="704">
        <v>6907</v>
      </c>
      <c r="C2762" s="704" t="s">
        <v>586</v>
      </c>
      <c r="D2762" s="704" t="s">
        <v>552</v>
      </c>
      <c r="E2762" s="704">
        <v>1</v>
      </c>
      <c r="F2762" s="704">
        <v>100</v>
      </c>
      <c r="H2762">
        <f t="shared" si="148"/>
        <v>6907</v>
      </c>
      <c r="I2762" t="str">
        <f t="shared" si="149"/>
        <v>Greater Perth</v>
      </c>
    </row>
    <row r="2763" spans="1:9" x14ac:dyDescent="0.2">
      <c r="A2763" s="704">
        <v>7000</v>
      </c>
      <c r="B2763" s="704">
        <v>7000</v>
      </c>
      <c r="C2763" s="704" t="s">
        <v>587</v>
      </c>
      <c r="D2763" s="704" t="s">
        <v>554</v>
      </c>
      <c r="E2763" s="704">
        <v>0.99996600000000002</v>
      </c>
      <c r="F2763" s="704">
        <v>99.996600000000001</v>
      </c>
      <c r="H2763">
        <f t="shared" si="148"/>
        <v>7000</v>
      </c>
      <c r="I2763" t="str">
        <f t="shared" si="149"/>
        <v>Greater Hobart</v>
      </c>
    </row>
    <row r="2764" spans="1:9" x14ac:dyDescent="0.2">
      <c r="A2764" s="704">
        <v>7004</v>
      </c>
      <c r="B2764" s="704">
        <v>7004</v>
      </c>
      <c r="C2764" s="704" t="s">
        <v>587</v>
      </c>
      <c r="D2764" s="704" t="s">
        <v>554</v>
      </c>
      <c r="E2764" s="704">
        <v>0.99734</v>
      </c>
      <c r="F2764" s="704">
        <v>99.733999999999995</v>
      </c>
      <c r="H2764">
        <f t="shared" si="148"/>
        <v>7004</v>
      </c>
      <c r="I2764" t="str">
        <f t="shared" si="149"/>
        <v>Greater Hobart</v>
      </c>
    </row>
    <row r="2765" spans="1:9" x14ac:dyDescent="0.2">
      <c r="A2765" s="704">
        <v>7005</v>
      </c>
      <c r="B2765" s="704">
        <v>7005</v>
      </c>
      <c r="C2765" s="704" t="s">
        <v>587</v>
      </c>
      <c r="D2765" s="704" t="s">
        <v>554</v>
      </c>
      <c r="E2765" s="704">
        <v>0.99468900000000005</v>
      </c>
      <c r="F2765" s="704">
        <v>99.468900000000005</v>
      </c>
      <c r="H2765">
        <f t="shared" si="148"/>
        <v>7005</v>
      </c>
      <c r="I2765" t="str">
        <f t="shared" si="149"/>
        <v>Greater Hobart</v>
      </c>
    </row>
    <row r="2766" spans="1:9" x14ac:dyDescent="0.2">
      <c r="A2766" s="704">
        <v>7007</v>
      </c>
      <c r="B2766" s="704">
        <v>7007</v>
      </c>
      <c r="C2766" s="704" t="s">
        <v>587</v>
      </c>
      <c r="D2766" s="704" t="s">
        <v>554</v>
      </c>
      <c r="E2766" s="704">
        <v>1</v>
      </c>
      <c r="F2766" s="704">
        <v>100</v>
      </c>
      <c r="H2766">
        <f t="shared" si="148"/>
        <v>7007</v>
      </c>
      <c r="I2766" t="str">
        <f t="shared" si="149"/>
        <v>Greater Hobart</v>
      </c>
    </row>
    <row r="2767" spans="1:9" x14ac:dyDescent="0.2">
      <c r="A2767" s="704">
        <v>7008</v>
      </c>
      <c r="B2767" s="704">
        <v>7008</v>
      </c>
      <c r="C2767" s="704" t="s">
        <v>587</v>
      </c>
      <c r="D2767" s="704" t="s">
        <v>554</v>
      </c>
      <c r="E2767" s="704">
        <v>1</v>
      </c>
      <c r="F2767" s="704">
        <v>100</v>
      </c>
      <c r="H2767">
        <f t="shared" si="148"/>
        <v>7008</v>
      </c>
      <c r="I2767" t="str">
        <f t="shared" si="149"/>
        <v>Greater Hobart</v>
      </c>
    </row>
    <row r="2768" spans="1:9" x14ac:dyDescent="0.2">
      <c r="A2768" s="704">
        <v>7009</v>
      </c>
      <c r="B2768" s="704">
        <v>7009</v>
      </c>
      <c r="C2768" s="704" t="s">
        <v>587</v>
      </c>
      <c r="D2768" s="704" t="s">
        <v>554</v>
      </c>
      <c r="E2768" s="704">
        <v>0.998942</v>
      </c>
      <c r="F2768" s="704">
        <v>99.894300000000001</v>
      </c>
      <c r="H2768">
        <f t="shared" si="148"/>
        <v>7009</v>
      </c>
      <c r="I2768" t="str">
        <f t="shared" si="149"/>
        <v>Greater Hobart</v>
      </c>
    </row>
    <row r="2769" spans="1:9" x14ac:dyDescent="0.2">
      <c r="A2769" s="704">
        <v>7010</v>
      </c>
      <c r="B2769" s="704">
        <v>7010</v>
      </c>
      <c r="C2769" s="704" t="s">
        <v>587</v>
      </c>
      <c r="D2769" s="704" t="s">
        <v>554</v>
      </c>
      <c r="E2769" s="704">
        <v>0.99911399999999995</v>
      </c>
      <c r="F2769" s="704">
        <v>99.9114</v>
      </c>
      <c r="H2769">
        <f t="shared" si="148"/>
        <v>7010</v>
      </c>
      <c r="I2769" t="str">
        <f t="shared" si="149"/>
        <v>Greater Hobart</v>
      </c>
    </row>
    <row r="2770" spans="1:9" x14ac:dyDescent="0.2">
      <c r="A2770" s="704">
        <v>7011</v>
      </c>
      <c r="B2770" s="704">
        <v>7011</v>
      </c>
      <c r="C2770" s="704" t="s">
        <v>587</v>
      </c>
      <c r="D2770" s="704" t="s">
        <v>554</v>
      </c>
      <c r="E2770" s="704">
        <v>0.99941100000000005</v>
      </c>
      <c r="F2770" s="704">
        <v>99.941100000000006</v>
      </c>
      <c r="H2770">
        <f t="shared" si="148"/>
        <v>7011</v>
      </c>
      <c r="I2770" t="str">
        <f t="shared" si="149"/>
        <v>Greater Hobart</v>
      </c>
    </row>
    <row r="2771" spans="1:9" x14ac:dyDescent="0.2">
      <c r="A2771" s="704">
        <v>7012</v>
      </c>
      <c r="B2771" s="704">
        <v>7012</v>
      </c>
      <c r="C2771" s="704" t="s">
        <v>587</v>
      </c>
      <c r="D2771" s="704" t="s">
        <v>554</v>
      </c>
      <c r="E2771" s="704">
        <v>0.96972100000000006</v>
      </c>
      <c r="F2771" s="704">
        <v>96.972099999999998</v>
      </c>
      <c r="H2771">
        <f t="shared" si="148"/>
        <v>7012</v>
      </c>
      <c r="I2771" t="str">
        <f t="shared" si="149"/>
        <v>Greater Hobart</v>
      </c>
    </row>
    <row r="2772" spans="1:9" x14ac:dyDescent="0.2">
      <c r="A2772" s="704">
        <v>7012</v>
      </c>
      <c r="B2772" s="704">
        <v>7012</v>
      </c>
      <c r="C2772" s="704" t="s">
        <v>588</v>
      </c>
      <c r="D2772" s="704" t="s">
        <v>556</v>
      </c>
      <c r="E2772" s="704">
        <v>3.02791E-2</v>
      </c>
      <c r="F2772" s="704">
        <v>3.0279099999999999</v>
      </c>
      <c r="H2772">
        <f t="shared" si="148"/>
        <v>7012</v>
      </c>
      <c r="I2772" t="str">
        <f t="shared" si="149"/>
        <v>Rest of Tas.</v>
      </c>
    </row>
    <row r="2773" spans="1:9" x14ac:dyDescent="0.2">
      <c r="A2773" s="704">
        <v>7015</v>
      </c>
      <c r="B2773" s="704">
        <v>7015</v>
      </c>
      <c r="C2773" s="704" t="s">
        <v>587</v>
      </c>
      <c r="D2773" s="704" t="s">
        <v>554</v>
      </c>
      <c r="E2773" s="704">
        <v>0.99388600000000005</v>
      </c>
      <c r="F2773" s="704">
        <v>99.388599999999997</v>
      </c>
      <c r="H2773">
        <f t="shared" si="148"/>
        <v>7015</v>
      </c>
      <c r="I2773" t="str">
        <f t="shared" si="149"/>
        <v>Greater Hobart</v>
      </c>
    </row>
    <row r="2774" spans="1:9" x14ac:dyDescent="0.2">
      <c r="A2774" s="704">
        <v>7016</v>
      </c>
      <c r="B2774" s="704">
        <v>7016</v>
      </c>
      <c r="C2774" s="704" t="s">
        <v>587</v>
      </c>
      <c r="D2774" s="704" t="s">
        <v>554</v>
      </c>
      <c r="E2774" s="704">
        <v>1</v>
      </c>
      <c r="F2774" s="704">
        <v>100</v>
      </c>
      <c r="H2774">
        <f t="shared" si="148"/>
        <v>7016</v>
      </c>
      <c r="I2774" t="str">
        <f t="shared" si="149"/>
        <v>Greater Hobart</v>
      </c>
    </row>
    <row r="2775" spans="1:9" x14ac:dyDescent="0.2">
      <c r="A2775" s="704">
        <v>7017</v>
      </c>
      <c r="B2775" s="704">
        <v>7017</v>
      </c>
      <c r="C2775" s="704" t="s">
        <v>587</v>
      </c>
      <c r="D2775" s="704" t="s">
        <v>554</v>
      </c>
      <c r="E2775" s="704">
        <v>0.97647799999999996</v>
      </c>
      <c r="F2775" s="704">
        <v>97.647800000000004</v>
      </c>
      <c r="H2775">
        <f t="shared" si="148"/>
        <v>7017</v>
      </c>
      <c r="I2775" t="str">
        <f t="shared" si="149"/>
        <v>Greater Hobart</v>
      </c>
    </row>
    <row r="2776" spans="1:9" x14ac:dyDescent="0.2">
      <c r="A2776" s="704">
        <v>7017</v>
      </c>
      <c r="B2776" s="704">
        <v>7017</v>
      </c>
      <c r="C2776" s="704" t="s">
        <v>588</v>
      </c>
      <c r="D2776" s="704" t="s">
        <v>556</v>
      </c>
      <c r="E2776" s="704">
        <v>1.7463800000000002E-2</v>
      </c>
      <c r="F2776" s="704">
        <v>1.74638</v>
      </c>
      <c r="H2776">
        <f t="shared" si="148"/>
        <v>7017</v>
      </c>
      <c r="I2776" t="str">
        <f t="shared" si="149"/>
        <v>Rest of Tas.</v>
      </c>
    </row>
    <row r="2777" spans="1:9" x14ac:dyDescent="0.2">
      <c r="A2777" s="704">
        <v>7018</v>
      </c>
      <c r="B2777" s="704">
        <v>7018</v>
      </c>
      <c r="C2777" s="704" t="s">
        <v>587</v>
      </c>
      <c r="D2777" s="704" t="s">
        <v>554</v>
      </c>
      <c r="E2777" s="704">
        <v>0.99722999999999995</v>
      </c>
      <c r="F2777" s="704">
        <v>99.722999999999999</v>
      </c>
      <c r="H2777">
        <f t="shared" si="148"/>
        <v>7018</v>
      </c>
      <c r="I2777" t="str">
        <f t="shared" si="149"/>
        <v>Greater Hobart</v>
      </c>
    </row>
    <row r="2778" spans="1:9" x14ac:dyDescent="0.2">
      <c r="A2778" s="704">
        <v>7019</v>
      </c>
      <c r="B2778" s="704">
        <v>7019</v>
      </c>
      <c r="C2778" s="704" t="s">
        <v>587</v>
      </c>
      <c r="D2778" s="704" t="s">
        <v>554</v>
      </c>
      <c r="E2778" s="704">
        <v>1</v>
      </c>
      <c r="F2778" s="704">
        <v>100</v>
      </c>
      <c r="H2778">
        <f t="shared" si="148"/>
        <v>7019</v>
      </c>
      <c r="I2778" t="str">
        <f t="shared" si="149"/>
        <v>Greater Hobart</v>
      </c>
    </row>
    <row r="2779" spans="1:9" x14ac:dyDescent="0.2">
      <c r="A2779" s="704">
        <v>7020</v>
      </c>
      <c r="B2779" s="704">
        <v>7020</v>
      </c>
      <c r="C2779" s="704" t="s">
        <v>587</v>
      </c>
      <c r="D2779" s="704" t="s">
        <v>554</v>
      </c>
      <c r="E2779" s="704">
        <v>0.99408700000000005</v>
      </c>
      <c r="F2779" s="704">
        <v>99.408699999999996</v>
      </c>
      <c r="H2779">
        <f t="shared" si="148"/>
        <v>7020</v>
      </c>
      <c r="I2779" t="str">
        <f t="shared" si="149"/>
        <v>Greater Hobart</v>
      </c>
    </row>
    <row r="2780" spans="1:9" x14ac:dyDescent="0.2">
      <c r="A2780" s="704">
        <v>7021</v>
      </c>
      <c r="B2780" s="704">
        <v>7021</v>
      </c>
      <c r="C2780" s="704" t="s">
        <v>587</v>
      </c>
      <c r="D2780" s="704" t="s">
        <v>554</v>
      </c>
      <c r="E2780" s="704">
        <v>0.999004</v>
      </c>
      <c r="F2780" s="704">
        <v>99.900400000000005</v>
      </c>
      <c r="H2780">
        <f t="shared" si="148"/>
        <v>7021</v>
      </c>
      <c r="I2780" t="str">
        <f t="shared" si="149"/>
        <v>Greater Hobart</v>
      </c>
    </row>
    <row r="2781" spans="1:9" x14ac:dyDescent="0.2">
      <c r="A2781" s="704">
        <v>7022</v>
      </c>
      <c r="B2781" s="704">
        <v>7022</v>
      </c>
      <c r="C2781" s="704" t="s">
        <v>587</v>
      </c>
      <c r="D2781" s="704" t="s">
        <v>554</v>
      </c>
      <c r="E2781" s="704">
        <v>0.99982400000000005</v>
      </c>
      <c r="F2781" s="704">
        <v>99.982399999999998</v>
      </c>
      <c r="H2781">
        <f t="shared" si="148"/>
        <v>7022</v>
      </c>
      <c r="I2781" t="str">
        <f t="shared" si="149"/>
        <v>Greater Hobart</v>
      </c>
    </row>
    <row r="2782" spans="1:9" x14ac:dyDescent="0.2">
      <c r="A2782" s="704">
        <v>7023</v>
      </c>
      <c r="B2782" s="704">
        <v>7023</v>
      </c>
      <c r="C2782" s="704" t="s">
        <v>587</v>
      </c>
      <c r="D2782" s="704" t="s">
        <v>554</v>
      </c>
      <c r="E2782" s="704">
        <v>1</v>
      </c>
      <c r="F2782" s="704">
        <v>100</v>
      </c>
      <c r="H2782">
        <f t="shared" si="148"/>
        <v>7023</v>
      </c>
      <c r="I2782" t="str">
        <f t="shared" si="149"/>
        <v>Greater Hobart</v>
      </c>
    </row>
    <row r="2783" spans="1:9" x14ac:dyDescent="0.2">
      <c r="A2783" s="704">
        <v>7024</v>
      </c>
      <c r="B2783" s="704">
        <v>7024</v>
      </c>
      <c r="C2783" s="704" t="s">
        <v>587</v>
      </c>
      <c r="D2783" s="704" t="s">
        <v>554</v>
      </c>
      <c r="E2783" s="704">
        <v>0.99885999999999997</v>
      </c>
      <c r="F2783" s="704">
        <v>99.885999999999996</v>
      </c>
      <c r="H2783">
        <f t="shared" si="148"/>
        <v>7024</v>
      </c>
      <c r="I2783" t="str">
        <f t="shared" si="149"/>
        <v>Greater Hobart</v>
      </c>
    </row>
    <row r="2784" spans="1:9" x14ac:dyDescent="0.2">
      <c r="A2784" s="704">
        <v>7025</v>
      </c>
      <c r="B2784" s="704">
        <v>7025</v>
      </c>
      <c r="C2784" s="704" t="s">
        <v>587</v>
      </c>
      <c r="D2784" s="704" t="s">
        <v>554</v>
      </c>
      <c r="E2784" s="704">
        <v>1</v>
      </c>
      <c r="F2784" s="704">
        <v>100</v>
      </c>
      <c r="H2784">
        <f t="shared" si="148"/>
        <v>7025</v>
      </c>
      <c r="I2784" t="str">
        <f t="shared" si="149"/>
        <v>Greater Hobart</v>
      </c>
    </row>
    <row r="2785" spans="1:9" x14ac:dyDescent="0.2">
      <c r="A2785" s="704">
        <v>7026</v>
      </c>
      <c r="B2785" s="704">
        <v>7026</v>
      </c>
      <c r="C2785" s="704" t="s">
        <v>587</v>
      </c>
      <c r="D2785" s="704" t="s">
        <v>554</v>
      </c>
      <c r="E2785" s="704">
        <v>0.157777</v>
      </c>
      <c r="F2785" s="704">
        <v>15.777699999999999</v>
      </c>
      <c r="H2785">
        <f t="shared" si="148"/>
        <v>7026</v>
      </c>
      <c r="I2785" t="str">
        <f t="shared" si="149"/>
        <v>Greater Hobart</v>
      </c>
    </row>
    <row r="2786" spans="1:9" x14ac:dyDescent="0.2">
      <c r="A2786" s="704">
        <v>7026</v>
      </c>
      <c r="B2786" s="704">
        <v>7026</v>
      </c>
      <c r="C2786" s="704" t="s">
        <v>588</v>
      </c>
      <c r="D2786" s="704" t="s">
        <v>556</v>
      </c>
      <c r="E2786" s="704">
        <v>0.84222300000000005</v>
      </c>
      <c r="F2786" s="704">
        <v>84.222300000000004</v>
      </c>
      <c r="H2786">
        <f t="shared" si="148"/>
        <v>7026</v>
      </c>
      <c r="I2786" t="str">
        <f t="shared" si="149"/>
        <v>Rest of Tas.</v>
      </c>
    </row>
    <row r="2787" spans="1:9" x14ac:dyDescent="0.2">
      <c r="A2787" s="704">
        <v>7027</v>
      </c>
      <c r="B2787" s="704">
        <v>7027</v>
      </c>
      <c r="C2787" s="704" t="s">
        <v>588</v>
      </c>
      <c r="D2787" s="704" t="s">
        <v>556</v>
      </c>
      <c r="E2787" s="704">
        <v>1</v>
      </c>
      <c r="F2787" s="704">
        <v>100</v>
      </c>
      <c r="H2787">
        <f t="shared" si="148"/>
        <v>7027</v>
      </c>
      <c r="I2787" t="str">
        <f t="shared" si="149"/>
        <v>Rest of Tas.</v>
      </c>
    </row>
    <row r="2788" spans="1:9" x14ac:dyDescent="0.2">
      <c r="A2788" s="704">
        <v>7030</v>
      </c>
      <c r="B2788" s="704">
        <v>7030</v>
      </c>
      <c r="C2788" s="704" t="s">
        <v>587</v>
      </c>
      <c r="D2788" s="704" t="s">
        <v>554</v>
      </c>
      <c r="E2788" s="704">
        <v>0.77906500000000001</v>
      </c>
      <c r="F2788" s="704">
        <v>77.906499999999994</v>
      </c>
      <c r="H2788">
        <f t="shared" si="148"/>
        <v>7030</v>
      </c>
      <c r="I2788" t="str">
        <f t="shared" si="149"/>
        <v>Greater Hobart</v>
      </c>
    </row>
    <row r="2789" spans="1:9" x14ac:dyDescent="0.2">
      <c r="A2789" s="704">
        <v>7030</v>
      </c>
      <c r="B2789" s="704">
        <v>7030</v>
      </c>
      <c r="C2789" s="704" t="s">
        <v>588</v>
      </c>
      <c r="D2789" s="704" t="s">
        <v>556</v>
      </c>
      <c r="E2789" s="704">
        <v>0.22073499999999999</v>
      </c>
      <c r="F2789" s="704">
        <v>22.073499999999999</v>
      </c>
      <c r="H2789">
        <f t="shared" si="148"/>
        <v>7030</v>
      </c>
      <c r="I2789" t="str">
        <f t="shared" si="149"/>
        <v>Rest of Tas.</v>
      </c>
    </row>
    <row r="2790" spans="1:9" x14ac:dyDescent="0.2">
      <c r="A2790" s="704">
        <v>7050</v>
      </c>
      <c r="B2790" s="704">
        <v>7050</v>
      </c>
      <c r="C2790" s="704" t="s">
        <v>587</v>
      </c>
      <c r="D2790" s="704" t="s">
        <v>554</v>
      </c>
      <c r="E2790" s="704">
        <v>1</v>
      </c>
      <c r="F2790" s="704">
        <v>100</v>
      </c>
      <c r="H2790">
        <f t="shared" si="148"/>
        <v>7050</v>
      </c>
      <c r="I2790" t="str">
        <f t="shared" si="149"/>
        <v>Greater Hobart</v>
      </c>
    </row>
    <row r="2791" spans="1:9" x14ac:dyDescent="0.2">
      <c r="A2791" s="704">
        <v>7052</v>
      </c>
      <c r="B2791" s="704">
        <v>7052</v>
      </c>
      <c r="C2791" s="704" t="s">
        <v>587</v>
      </c>
      <c r="D2791" s="704" t="s">
        <v>554</v>
      </c>
      <c r="E2791" s="704">
        <v>0.99843599999999999</v>
      </c>
      <c r="F2791" s="704">
        <v>99.843599999999995</v>
      </c>
      <c r="H2791">
        <f t="shared" si="148"/>
        <v>7052</v>
      </c>
      <c r="I2791" t="str">
        <f t="shared" si="149"/>
        <v>Greater Hobart</v>
      </c>
    </row>
    <row r="2792" spans="1:9" x14ac:dyDescent="0.2">
      <c r="A2792" s="704">
        <v>7053</v>
      </c>
      <c r="B2792" s="704">
        <v>7053</v>
      </c>
      <c r="C2792" s="704" t="s">
        <v>587</v>
      </c>
      <c r="D2792" s="704" t="s">
        <v>554</v>
      </c>
      <c r="E2792" s="704">
        <v>0.99681299999999995</v>
      </c>
      <c r="F2792" s="704">
        <v>99.681299999999993</v>
      </c>
      <c r="H2792">
        <f t="shared" si="148"/>
        <v>7053</v>
      </c>
      <c r="I2792" t="str">
        <f t="shared" si="149"/>
        <v>Greater Hobart</v>
      </c>
    </row>
    <row r="2793" spans="1:9" x14ac:dyDescent="0.2">
      <c r="A2793" s="704">
        <v>7054</v>
      </c>
      <c r="B2793" s="704">
        <v>7054</v>
      </c>
      <c r="C2793" s="704" t="s">
        <v>587</v>
      </c>
      <c r="D2793" s="704" t="s">
        <v>554</v>
      </c>
      <c r="E2793" s="704">
        <v>0.99014000000000002</v>
      </c>
      <c r="F2793" s="704">
        <v>99.013999999999996</v>
      </c>
      <c r="H2793">
        <f t="shared" si="148"/>
        <v>7054</v>
      </c>
      <c r="I2793" t="str">
        <f t="shared" si="149"/>
        <v>Greater Hobart</v>
      </c>
    </row>
    <row r="2794" spans="1:9" x14ac:dyDescent="0.2">
      <c r="A2794" s="704">
        <v>7054</v>
      </c>
      <c r="B2794" s="704">
        <v>7054</v>
      </c>
      <c r="C2794" s="704" t="s">
        <v>588</v>
      </c>
      <c r="D2794" s="704" t="s">
        <v>556</v>
      </c>
      <c r="E2794" s="704">
        <v>6.5340000000000005E-4</v>
      </c>
      <c r="F2794" s="704">
        <v>6.5337199999999998E-2</v>
      </c>
      <c r="H2794">
        <f t="shared" si="148"/>
        <v>7054</v>
      </c>
      <c r="I2794" t="str">
        <f t="shared" si="149"/>
        <v>Rest of Tas.</v>
      </c>
    </row>
    <row r="2795" spans="1:9" x14ac:dyDescent="0.2">
      <c r="A2795" s="704">
        <v>7055</v>
      </c>
      <c r="B2795" s="704">
        <v>7055</v>
      </c>
      <c r="C2795" s="704" t="s">
        <v>587</v>
      </c>
      <c r="D2795" s="704" t="s">
        <v>554</v>
      </c>
      <c r="E2795" s="704">
        <v>1</v>
      </c>
      <c r="F2795" s="704">
        <v>100</v>
      </c>
      <c r="H2795">
        <f t="shared" si="148"/>
        <v>7055</v>
      </c>
      <c r="I2795" t="str">
        <f t="shared" si="149"/>
        <v>Greater Hobart</v>
      </c>
    </row>
    <row r="2796" spans="1:9" x14ac:dyDescent="0.2">
      <c r="A2796" s="704">
        <v>7109</v>
      </c>
      <c r="B2796" s="704">
        <v>7109</v>
      </c>
      <c r="C2796" s="704" t="s">
        <v>587</v>
      </c>
      <c r="D2796" s="704" t="s">
        <v>554</v>
      </c>
      <c r="E2796" s="704">
        <v>1.6490000000000001E-2</v>
      </c>
      <c r="F2796" s="704">
        <v>1.649</v>
      </c>
      <c r="H2796">
        <f t="shared" si="148"/>
        <v>7109</v>
      </c>
      <c r="I2796" t="str">
        <f t="shared" si="149"/>
        <v>Greater Hobart</v>
      </c>
    </row>
    <row r="2797" spans="1:9" x14ac:dyDescent="0.2">
      <c r="A2797" s="704">
        <v>7109</v>
      </c>
      <c r="B2797" s="704">
        <v>7109</v>
      </c>
      <c r="C2797" s="704" t="s">
        <v>588</v>
      </c>
      <c r="D2797" s="704" t="s">
        <v>556</v>
      </c>
      <c r="E2797" s="704">
        <v>0.98051100000000002</v>
      </c>
      <c r="F2797" s="704">
        <v>98.051100000000005</v>
      </c>
      <c r="H2797">
        <f t="shared" si="148"/>
        <v>7109</v>
      </c>
      <c r="I2797" t="str">
        <f t="shared" si="149"/>
        <v>Rest of Tas.</v>
      </c>
    </row>
    <row r="2798" spans="1:9" x14ac:dyDescent="0.2">
      <c r="A2798" s="704">
        <v>7112</v>
      </c>
      <c r="B2798" s="704">
        <v>7112</v>
      </c>
      <c r="C2798" s="704" t="s">
        <v>588</v>
      </c>
      <c r="D2798" s="704" t="s">
        <v>556</v>
      </c>
      <c r="E2798" s="704">
        <v>0.99831599999999998</v>
      </c>
      <c r="F2798" s="704">
        <v>99.831599999999995</v>
      </c>
      <c r="H2798">
        <f t="shared" si="148"/>
        <v>7112</v>
      </c>
      <c r="I2798" t="str">
        <f t="shared" si="149"/>
        <v>Rest of Tas.</v>
      </c>
    </row>
    <row r="2799" spans="1:9" x14ac:dyDescent="0.2">
      <c r="A2799" s="704">
        <v>7113</v>
      </c>
      <c r="B2799" s="704">
        <v>7113</v>
      </c>
      <c r="C2799" s="704" t="s">
        <v>588</v>
      </c>
      <c r="D2799" s="704" t="s">
        <v>556</v>
      </c>
      <c r="E2799" s="704">
        <v>1</v>
      </c>
      <c r="F2799" s="704">
        <v>100</v>
      </c>
      <c r="H2799">
        <f t="shared" si="148"/>
        <v>7113</v>
      </c>
      <c r="I2799" t="str">
        <f t="shared" si="149"/>
        <v>Rest of Tas.</v>
      </c>
    </row>
    <row r="2800" spans="1:9" x14ac:dyDescent="0.2">
      <c r="A2800" s="704">
        <v>7116</v>
      </c>
      <c r="B2800" s="704">
        <v>7116</v>
      </c>
      <c r="C2800" s="704" t="s">
        <v>588</v>
      </c>
      <c r="D2800" s="704" t="s">
        <v>556</v>
      </c>
      <c r="E2800" s="704">
        <v>0.99945300000000004</v>
      </c>
      <c r="F2800" s="704">
        <v>99.945400000000006</v>
      </c>
      <c r="H2800">
        <f t="shared" si="148"/>
        <v>7116</v>
      </c>
      <c r="I2800" t="str">
        <f t="shared" si="149"/>
        <v>Rest of Tas.</v>
      </c>
    </row>
    <row r="2801" spans="1:9" x14ac:dyDescent="0.2">
      <c r="A2801" s="704">
        <v>7117</v>
      </c>
      <c r="B2801" s="704">
        <v>7117</v>
      </c>
      <c r="C2801" s="704" t="s">
        <v>588</v>
      </c>
      <c r="D2801" s="704" t="s">
        <v>556</v>
      </c>
      <c r="E2801" s="704">
        <v>0.99041199999999996</v>
      </c>
      <c r="F2801" s="704">
        <v>99.041200000000003</v>
      </c>
      <c r="H2801">
        <f t="shared" si="148"/>
        <v>7117</v>
      </c>
      <c r="I2801" t="str">
        <f t="shared" si="149"/>
        <v>Rest of Tas.</v>
      </c>
    </row>
    <row r="2802" spans="1:9" x14ac:dyDescent="0.2">
      <c r="A2802" s="704">
        <v>7119</v>
      </c>
      <c r="B2802" s="704">
        <v>7119</v>
      </c>
      <c r="C2802" s="704" t="s">
        <v>588</v>
      </c>
      <c r="D2802" s="704" t="s">
        <v>556</v>
      </c>
      <c r="E2802" s="704">
        <v>1</v>
      </c>
      <c r="F2802" s="704">
        <v>100</v>
      </c>
      <c r="H2802">
        <f t="shared" si="148"/>
        <v>7119</v>
      </c>
      <c r="I2802" t="str">
        <f t="shared" si="149"/>
        <v>Rest of Tas.</v>
      </c>
    </row>
    <row r="2803" spans="1:9" x14ac:dyDescent="0.2">
      <c r="A2803" s="704">
        <v>7120</v>
      </c>
      <c r="B2803" s="704">
        <v>7120</v>
      </c>
      <c r="C2803" s="704" t="s">
        <v>588</v>
      </c>
      <c r="D2803" s="704" t="s">
        <v>556</v>
      </c>
      <c r="E2803" s="704">
        <v>1</v>
      </c>
      <c r="F2803" s="704">
        <v>100</v>
      </c>
      <c r="H2803">
        <f t="shared" si="148"/>
        <v>7120</v>
      </c>
      <c r="I2803" t="str">
        <f t="shared" si="149"/>
        <v>Rest of Tas.</v>
      </c>
    </row>
    <row r="2804" spans="1:9" x14ac:dyDescent="0.2">
      <c r="A2804" s="704">
        <v>7139</v>
      </c>
      <c r="B2804" s="704">
        <v>7139</v>
      </c>
      <c r="C2804" s="704" t="s">
        <v>588</v>
      </c>
      <c r="D2804" s="704" t="s">
        <v>556</v>
      </c>
      <c r="E2804" s="704">
        <v>1</v>
      </c>
      <c r="F2804" s="704">
        <v>100</v>
      </c>
      <c r="H2804">
        <f t="shared" si="148"/>
        <v>7139</v>
      </c>
      <c r="I2804" t="str">
        <f t="shared" si="149"/>
        <v>Rest of Tas.</v>
      </c>
    </row>
    <row r="2805" spans="1:9" x14ac:dyDescent="0.2">
      <c r="A2805" s="704">
        <v>7140</v>
      </c>
      <c r="B2805" s="704">
        <v>7140</v>
      </c>
      <c r="C2805" s="704" t="s">
        <v>587</v>
      </c>
      <c r="D2805" s="704" t="s">
        <v>554</v>
      </c>
      <c r="E2805" s="704">
        <v>0.58710700000000005</v>
      </c>
      <c r="F2805" s="704">
        <v>58.710700000000003</v>
      </c>
      <c r="H2805">
        <f t="shared" si="148"/>
        <v>7140</v>
      </c>
      <c r="I2805" t="str">
        <f t="shared" si="149"/>
        <v>Greater Hobart</v>
      </c>
    </row>
    <row r="2806" spans="1:9" x14ac:dyDescent="0.2">
      <c r="A2806" s="704">
        <v>7140</v>
      </c>
      <c r="B2806" s="704">
        <v>7140</v>
      </c>
      <c r="C2806" s="704" t="s">
        <v>588</v>
      </c>
      <c r="D2806" s="704" t="s">
        <v>556</v>
      </c>
      <c r="E2806" s="704">
        <v>0.41282799999999997</v>
      </c>
      <c r="F2806" s="704">
        <v>41.282800000000002</v>
      </c>
      <c r="H2806">
        <f t="shared" si="148"/>
        <v>7140</v>
      </c>
      <c r="I2806" t="str">
        <f t="shared" si="149"/>
        <v>Rest of Tas.</v>
      </c>
    </row>
    <row r="2807" spans="1:9" x14ac:dyDescent="0.2">
      <c r="A2807" s="704">
        <v>7150</v>
      </c>
      <c r="B2807" s="704">
        <v>7150</v>
      </c>
      <c r="C2807" s="704" t="s">
        <v>587</v>
      </c>
      <c r="D2807" s="704" t="s">
        <v>554</v>
      </c>
      <c r="E2807" s="704">
        <v>0.47731499999999999</v>
      </c>
      <c r="F2807" s="704">
        <v>47.731499999999997</v>
      </c>
      <c r="H2807">
        <f t="shared" si="148"/>
        <v>7150</v>
      </c>
      <c r="I2807" t="str">
        <f t="shared" si="149"/>
        <v>Greater Hobart</v>
      </c>
    </row>
    <row r="2808" spans="1:9" x14ac:dyDescent="0.2">
      <c r="A2808" s="704">
        <v>7150</v>
      </c>
      <c r="B2808" s="704">
        <v>7150</v>
      </c>
      <c r="C2808" s="704" t="s">
        <v>588</v>
      </c>
      <c r="D2808" s="704" t="s">
        <v>556</v>
      </c>
      <c r="E2808" s="704">
        <v>0.520065</v>
      </c>
      <c r="F2808" s="704">
        <v>52.006500000000003</v>
      </c>
      <c r="H2808">
        <f t="shared" si="148"/>
        <v>7150</v>
      </c>
      <c r="I2808" t="str">
        <f t="shared" si="149"/>
        <v>Rest of Tas.</v>
      </c>
    </row>
    <row r="2809" spans="1:9" x14ac:dyDescent="0.2">
      <c r="A2809" s="704">
        <v>7155</v>
      </c>
      <c r="B2809" s="704">
        <v>7155</v>
      </c>
      <c r="C2809" s="704" t="s">
        <v>588</v>
      </c>
      <c r="D2809" s="704" t="s">
        <v>556</v>
      </c>
      <c r="E2809" s="704">
        <v>0.98950899999999997</v>
      </c>
      <c r="F2809" s="704">
        <v>98.950900000000004</v>
      </c>
      <c r="H2809">
        <f t="shared" ref="H2809:H2872" si="150">A2809*1</f>
        <v>7155</v>
      </c>
      <c r="I2809" t="str">
        <f t="shared" ref="I2809:I2872" si="151">D2809</f>
        <v>Rest of Tas.</v>
      </c>
    </row>
    <row r="2810" spans="1:9" x14ac:dyDescent="0.2">
      <c r="A2810" s="704">
        <v>7162</v>
      </c>
      <c r="B2810" s="704">
        <v>7162</v>
      </c>
      <c r="C2810" s="704" t="s">
        <v>588</v>
      </c>
      <c r="D2810" s="704" t="s">
        <v>556</v>
      </c>
      <c r="E2810" s="704">
        <v>1</v>
      </c>
      <c r="F2810" s="704">
        <v>100</v>
      </c>
      <c r="H2810">
        <f t="shared" si="150"/>
        <v>7162</v>
      </c>
      <c r="I2810" t="str">
        <f t="shared" si="151"/>
        <v>Rest of Tas.</v>
      </c>
    </row>
    <row r="2811" spans="1:9" x14ac:dyDescent="0.2">
      <c r="A2811" s="704">
        <v>7163</v>
      </c>
      <c r="B2811" s="704">
        <v>7163</v>
      </c>
      <c r="C2811" s="704" t="s">
        <v>588</v>
      </c>
      <c r="D2811" s="704" t="s">
        <v>556</v>
      </c>
      <c r="E2811" s="704">
        <v>0.99423499999999998</v>
      </c>
      <c r="F2811" s="704">
        <v>99.423500000000004</v>
      </c>
      <c r="H2811">
        <f t="shared" si="150"/>
        <v>7163</v>
      </c>
      <c r="I2811" t="str">
        <f t="shared" si="151"/>
        <v>Rest of Tas.</v>
      </c>
    </row>
    <row r="2812" spans="1:9" x14ac:dyDescent="0.2">
      <c r="A2812" s="704">
        <v>7170</v>
      </c>
      <c r="B2812" s="704">
        <v>7170</v>
      </c>
      <c r="C2812" s="704" t="s">
        <v>587</v>
      </c>
      <c r="D2812" s="704" t="s">
        <v>554</v>
      </c>
      <c r="E2812" s="704">
        <v>1</v>
      </c>
      <c r="F2812" s="704">
        <v>100</v>
      </c>
      <c r="H2812">
        <f t="shared" si="150"/>
        <v>7170</v>
      </c>
      <c r="I2812" t="str">
        <f t="shared" si="151"/>
        <v>Greater Hobart</v>
      </c>
    </row>
    <row r="2813" spans="1:9" x14ac:dyDescent="0.2">
      <c r="A2813" s="704">
        <v>7171</v>
      </c>
      <c r="B2813" s="704">
        <v>7171</v>
      </c>
      <c r="C2813" s="704" t="s">
        <v>587</v>
      </c>
      <c r="D2813" s="704" t="s">
        <v>554</v>
      </c>
      <c r="E2813" s="704">
        <v>0.99601300000000004</v>
      </c>
      <c r="F2813" s="704">
        <v>99.601299999999995</v>
      </c>
      <c r="H2813">
        <f t="shared" si="150"/>
        <v>7171</v>
      </c>
      <c r="I2813" t="str">
        <f t="shared" si="151"/>
        <v>Greater Hobart</v>
      </c>
    </row>
    <row r="2814" spans="1:9" x14ac:dyDescent="0.2">
      <c r="A2814" s="704">
        <v>7172</v>
      </c>
      <c r="B2814" s="704">
        <v>7172</v>
      </c>
      <c r="C2814" s="704" t="s">
        <v>587</v>
      </c>
      <c r="D2814" s="704" t="s">
        <v>554</v>
      </c>
      <c r="E2814" s="704">
        <v>0.99244699999999997</v>
      </c>
      <c r="F2814" s="704">
        <v>99.244699999999995</v>
      </c>
      <c r="H2814">
        <f t="shared" si="150"/>
        <v>7172</v>
      </c>
      <c r="I2814" t="str">
        <f t="shared" si="151"/>
        <v>Greater Hobart</v>
      </c>
    </row>
    <row r="2815" spans="1:9" x14ac:dyDescent="0.2">
      <c r="A2815" s="704">
        <v>7172</v>
      </c>
      <c r="B2815" s="704">
        <v>7172</v>
      </c>
      <c r="C2815" s="704" t="s">
        <v>588</v>
      </c>
      <c r="D2815" s="704" t="s">
        <v>556</v>
      </c>
      <c r="E2815" s="704">
        <v>1.4507999999999999E-3</v>
      </c>
      <c r="F2815" s="704">
        <v>0.14508399999999999</v>
      </c>
      <c r="H2815">
        <f t="shared" si="150"/>
        <v>7172</v>
      </c>
      <c r="I2815" t="str">
        <f t="shared" si="151"/>
        <v>Rest of Tas.</v>
      </c>
    </row>
    <row r="2816" spans="1:9" x14ac:dyDescent="0.2">
      <c r="A2816" s="704">
        <v>7173</v>
      </c>
      <c r="B2816" s="704">
        <v>7173</v>
      </c>
      <c r="C2816" s="704" t="s">
        <v>587</v>
      </c>
      <c r="D2816" s="704" t="s">
        <v>554</v>
      </c>
      <c r="E2816" s="704">
        <v>0.99830600000000003</v>
      </c>
      <c r="F2816" s="704">
        <v>99.830600000000004</v>
      </c>
      <c r="H2816">
        <f t="shared" si="150"/>
        <v>7173</v>
      </c>
      <c r="I2816" t="str">
        <f t="shared" si="151"/>
        <v>Greater Hobart</v>
      </c>
    </row>
    <row r="2817" spans="1:9" x14ac:dyDescent="0.2">
      <c r="A2817" s="704">
        <v>7174</v>
      </c>
      <c r="B2817" s="704">
        <v>7174</v>
      </c>
      <c r="C2817" s="704" t="s">
        <v>587</v>
      </c>
      <c r="D2817" s="704" t="s">
        <v>554</v>
      </c>
      <c r="E2817" s="704">
        <v>1</v>
      </c>
      <c r="F2817" s="704">
        <v>100</v>
      </c>
      <c r="H2817">
        <f t="shared" si="150"/>
        <v>7174</v>
      </c>
      <c r="I2817" t="str">
        <f t="shared" si="151"/>
        <v>Greater Hobart</v>
      </c>
    </row>
    <row r="2818" spans="1:9" x14ac:dyDescent="0.2">
      <c r="A2818" s="704">
        <v>7175</v>
      </c>
      <c r="B2818" s="704">
        <v>7175</v>
      </c>
      <c r="C2818" s="704" t="s">
        <v>587</v>
      </c>
      <c r="D2818" s="704" t="s">
        <v>554</v>
      </c>
      <c r="E2818" s="704">
        <v>1</v>
      </c>
      <c r="F2818" s="704">
        <v>100</v>
      </c>
      <c r="H2818">
        <f t="shared" si="150"/>
        <v>7175</v>
      </c>
      <c r="I2818" t="str">
        <f t="shared" si="151"/>
        <v>Greater Hobart</v>
      </c>
    </row>
    <row r="2819" spans="1:9" x14ac:dyDescent="0.2">
      <c r="A2819" s="704">
        <v>7176</v>
      </c>
      <c r="B2819" s="704">
        <v>7176</v>
      </c>
      <c r="C2819" s="704" t="s">
        <v>587</v>
      </c>
      <c r="D2819" s="704" t="s">
        <v>554</v>
      </c>
      <c r="E2819" s="704">
        <v>1</v>
      </c>
      <c r="F2819" s="704">
        <v>100</v>
      </c>
      <c r="H2819">
        <f t="shared" si="150"/>
        <v>7176</v>
      </c>
      <c r="I2819" t="str">
        <f t="shared" si="151"/>
        <v>Greater Hobart</v>
      </c>
    </row>
    <row r="2820" spans="1:9" x14ac:dyDescent="0.2">
      <c r="A2820" s="704">
        <v>7177</v>
      </c>
      <c r="B2820" s="704">
        <v>7177</v>
      </c>
      <c r="C2820" s="704" t="s">
        <v>587</v>
      </c>
      <c r="D2820" s="704" t="s">
        <v>554</v>
      </c>
      <c r="E2820" s="704">
        <v>0.98382999999999998</v>
      </c>
      <c r="F2820" s="704">
        <v>98.382999999999996</v>
      </c>
      <c r="H2820">
        <f t="shared" si="150"/>
        <v>7177</v>
      </c>
      <c r="I2820" t="str">
        <f t="shared" si="151"/>
        <v>Greater Hobart</v>
      </c>
    </row>
    <row r="2821" spans="1:9" x14ac:dyDescent="0.2">
      <c r="A2821" s="704">
        <v>7177</v>
      </c>
      <c r="B2821" s="704">
        <v>7177</v>
      </c>
      <c r="C2821" s="704" t="s">
        <v>588</v>
      </c>
      <c r="D2821" s="704" t="s">
        <v>556</v>
      </c>
      <c r="E2821" s="704">
        <v>1.6167600000000001E-2</v>
      </c>
      <c r="F2821" s="704">
        <v>1.61676</v>
      </c>
      <c r="H2821">
        <f t="shared" si="150"/>
        <v>7177</v>
      </c>
      <c r="I2821" t="str">
        <f t="shared" si="151"/>
        <v>Rest of Tas.</v>
      </c>
    </row>
    <row r="2822" spans="1:9" x14ac:dyDescent="0.2">
      <c r="A2822" s="704">
        <v>7178</v>
      </c>
      <c r="B2822" s="704">
        <v>7178</v>
      </c>
      <c r="C2822" s="704" t="s">
        <v>588</v>
      </c>
      <c r="D2822" s="704" t="s">
        <v>556</v>
      </c>
      <c r="E2822" s="704">
        <v>0.993448</v>
      </c>
      <c r="F2822" s="704">
        <v>99.344800000000006</v>
      </c>
      <c r="H2822">
        <f t="shared" si="150"/>
        <v>7178</v>
      </c>
      <c r="I2822" t="str">
        <f t="shared" si="151"/>
        <v>Rest of Tas.</v>
      </c>
    </row>
    <row r="2823" spans="1:9" x14ac:dyDescent="0.2">
      <c r="A2823" s="704">
        <v>7179</v>
      </c>
      <c r="B2823" s="704">
        <v>7179</v>
      </c>
      <c r="C2823" s="704" t="s">
        <v>588</v>
      </c>
      <c r="D2823" s="704" t="s">
        <v>556</v>
      </c>
      <c r="E2823" s="704">
        <v>0.997664</v>
      </c>
      <c r="F2823" s="704">
        <v>99.766400000000004</v>
      </c>
      <c r="H2823">
        <f t="shared" si="150"/>
        <v>7179</v>
      </c>
      <c r="I2823" t="str">
        <f t="shared" si="151"/>
        <v>Rest of Tas.</v>
      </c>
    </row>
    <row r="2824" spans="1:9" x14ac:dyDescent="0.2">
      <c r="A2824" s="704">
        <v>7180</v>
      </c>
      <c r="B2824" s="704">
        <v>7180</v>
      </c>
      <c r="C2824" s="704" t="s">
        <v>588</v>
      </c>
      <c r="D2824" s="704" t="s">
        <v>556</v>
      </c>
      <c r="E2824" s="704">
        <v>0.98665400000000003</v>
      </c>
      <c r="F2824" s="704">
        <v>98.665400000000005</v>
      </c>
      <c r="H2824">
        <f t="shared" si="150"/>
        <v>7180</v>
      </c>
      <c r="I2824" t="str">
        <f t="shared" si="151"/>
        <v>Rest of Tas.</v>
      </c>
    </row>
    <row r="2825" spans="1:9" x14ac:dyDescent="0.2">
      <c r="A2825" s="704">
        <v>7182</v>
      </c>
      <c r="B2825" s="704">
        <v>7182</v>
      </c>
      <c r="C2825" s="704" t="s">
        <v>588</v>
      </c>
      <c r="D2825" s="704" t="s">
        <v>556</v>
      </c>
      <c r="E2825" s="704">
        <v>0.99216199999999999</v>
      </c>
      <c r="F2825" s="704">
        <v>99.216200000000001</v>
      </c>
      <c r="H2825">
        <f t="shared" si="150"/>
        <v>7182</v>
      </c>
      <c r="I2825" t="str">
        <f t="shared" si="151"/>
        <v>Rest of Tas.</v>
      </c>
    </row>
    <row r="2826" spans="1:9" x14ac:dyDescent="0.2">
      <c r="A2826" s="704">
        <v>7183</v>
      </c>
      <c r="B2826" s="704">
        <v>7183</v>
      </c>
      <c r="C2826" s="704" t="s">
        <v>588</v>
      </c>
      <c r="D2826" s="704" t="s">
        <v>556</v>
      </c>
      <c r="E2826" s="704">
        <v>1</v>
      </c>
      <c r="F2826" s="704">
        <v>100</v>
      </c>
      <c r="H2826">
        <f t="shared" si="150"/>
        <v>7183</v>
      </c>
      <c r="I2826" t="str">
        <f t="shared" si="151"/>
        <v>Rest of Tas.</v>
      </c>
    </row>
    <row r="2827" spans="1:9" x14ac:dyDescent="0.2">
      <c r="A2827" s="704">
        <v>7184</v>
      </c>
      <c r="B2827" s="704">
        <v>7184</v>
      </c>
      <c r="C2827" s="704" t="s">
        <v>588</v>
      </c>
      <c r="D2827" s="704" t="s">
        <v>556</v>
      </c>
      <c r="E2827" s="704">
        <v>0.98866399999999999</v>
      </c>
      <c r="F2827" s="704">
        <v>98.866399999999999</v>
      </c>
      <c r="H2827">
        <f t="shared" si="150"/>
        <v>7184</v>
      </c>
      <c r="I2827" t="str">
        <f t="shared" si="151"/>
        <v>Rest of Tas.</v>
      </c>
    </row>
    <row r="2828" spans="1:9" x14ac:dyDescent="0.2">
      <c r="A2828" s="704">
        <v>7185</v>
      </c>
      <c r="B2828" s="704">
        <v>7185</v>
      </c>
      <c r="C2828" s="704" t="s">
        <v>588</v>
      </c>
      <c r="D2828" s="704" t="s">
        <v>556</v>
      </c>
      <c r="E2828" s="704">
        <v>1</v>
      </c>
      <c r="F2828" s="704">
        <v>100</v>
      </c>
      <c r="H2828">
        <f t="shared" si="150"/>
        <v>7185</v>
      </c>
      <c r="I2828" t="str">
        <f t="shared" si="151"/>
        <v>Rest of Tas.</v>
      </c>
    </row>
    <row r="2829" spans="1:9" x14ac:dyDescent="0.2">
      <c r="A2829" s="704">
        <v>7186</v>
      </c>
      <c r="B2829" s="704">
        <v>7186</v>
      </c>
      <c r="C2829" s="704" t="s">
        <v>588</v>
      </c>
      <c r="D2829" s="704" t="s">
        <v>556</v>
      </c>
      <c r="E2829" s="704">
        <v>0.98124999999999996</v>
      </c>
      <c r="F2829" s="704">
        <v>98.125</v>
      </c>
      <c r="H2829">
        <f t="shared" si="150"/>
        <v>7186</v>
      </c>
      <c r="I2829" t="str">
        <f t="shared" si="151"/>
        <v>Rest of Tas.</v>
      </c>
    </row>
    <row r="2830" spans="1:9" x14ac:dyDescent="0.2">
      <c r="A2830" s="704">
        <v>7187</v>
      </c>
      <c r="B2830" s="704">
        <v>7187</v>
      </c>
      <c r="C2830" s="704" t="s">
        <v>588</v>
      </c>
      <c r="D2830" s="704" t="s">
        <v>556</v>
      </c>
      <c r="E2830" s="704">
        <v>0.99297299999999999</v>
      </c>
      <c r="F2830" s="704">
        <v>99.297300000000007</v>
      </c>
      <c r="H2830">
        <f t="shared" si="150"/>
        <v>7187</v>
      </c>
      <c r="I2830" t="str">
        <f t="shared" si="151"/>
        <v>Rest of Tas.</v>
      </c>
    </row>
    <row r="2831" spans="1:9" x14ac:dyDescent="0.2">
      <c r="A2831" s="704">
        <v>7190</v>
      </c>
      <c r="B2831" s="704">
        <v>7190</v>
      </c>
      <c r="C2831" s="704" t="s">
        <v>588</v>
      </c>
      <c r="D2831" s="704" t="s">
        <v>556</v>
      </c>
      <c r="E2831" s="704">
        <v>0.98690900000000004</v>
      </c>
      <c r="F2831" s="704">
        <v>98.690899999999999</v>
      </c>
      <c r="H2831">
        <f t="shared" si="150"/>
        <v>7190</v>
      </c>
      <c r="I2831" t="str">
        <f t="shared" si="151"/>
        <v>Rest of Tas.</v>
      </c>
    </row>
    <row r="2832" spans="1:9" x14ac:dyDescent="0.2">
      <c r="A2832" s="704">
        <v>7209</v>
      </c>
      <c r="B2832" s="704">
        <v>7209</v>
      </c>
      <c r="C2832" s="704" t="s">
        <v>588</v>
      </c>
      <c r="D2832" s="704" t="s">
        <v>556</v>
      </c>
      <c r="E2832" s="704">
        <v>1</v>
      </c>
      <c r="F2832" s="704">
        <v>100</v>
      </c>
      <c r="H2832">
        <f t="shared" si="150"/>
        <v>7209</v>
      </c>
      <c r="I2832" t="str">
        <f t="shared" si="151"/>
        <v>Rest of Tas.</v>
      </c>
    </row>
    <row r="2833" spans="1:9" x14ac:dyDescent="0.2">
      <c r="A2833" s="704">
        <v>7210</v>
      </c>
      <c r="B2833" s="704">
        <v>7210</v>
      </c>
      <c r="C2833" s="704" t="s">
        <v>588</v>
      </c>
      <c r="D2833" s="704" t="s">
        <v>556</v>
      </c>
      <c r="E2833" s="704">
        <v>1</v>
      </c>
      <c r="F2833" s="704">
        <v>100</v>
      </c>
      <c r="H2833">
        <f t="shared" si="150"/>
        <v>7210</v>
      </c>
      <c r="I2833" t="str">
        <f t="shared" si="151"/>
        <v>Rest of Tas.</v>
      </c>
    </row>
    <row r="2834" spans="1:9" x14ac:dyDescent="0.2">
      <c r="A2834" s="704">
        <v>7211</v>
      </c>
      <c r="B2834" s="704">
        <v>7211</v>
      </c>
      <c r="C2834" s="704" t="s">
        <v>588</v>
      </c>
      <c r="D2834" s="704" t="s">
        <v>556</v>
      </c>
      <c r="E2834" s="704">
        <v>1</v>
      </c>
      <c r="F2834" s="704">
        <v>100</v>
      </c>
      <c r="H2834">
        <f t="shared" si="150"/>
        <v>7211</v>
      </c>
      <c r="I2834" t="str">
        <f t="shared" si="151"/>
        <v>Rest of Tas.</v>
      </c>
    </row>
    <row r="2835" spans="1:9" x14ac:dyDescent="0.2">
      <c r="A2835" s="704">
        <v>7212</v>
      </c>
      <c r="B2835" s="704">
        <v>7212</v>
      </c>
      <c r="C2835" s="704" t="s">
        <v>588</v>
      </c>
      <c r="D2835" s="704" t="s">
        <v>556</v>
      </c>
      <c r="E2835" s="704">
        <v>1</v>
      </c>
      <c r="F2835" s="704">
        <v>100</v>
      </c>
      <c r="H2835">
        <f t="shared" si="150"/>
        <v>7212</v>
      </c>
      <c r="I2835" t="str">
        <f t="shared" si="151"/>
        <v>Rest of Tas.</v>
      </c>
    </row>
    <row r="2836" spans="1:9" x14ac:dyDescent="0.2">
      <c r="A2836" s="704">
        <v>7213</v>
      </c>
      <c r="B2836" s="704">
        <v>7213</v>
      </c>
      <c r="C2836" s="704" t="s">
        <v>588</v>
      </c>
      <c r="D2836" s="704" t="s">
        <v>556</v>
      </c>
      <c r="E2836" s="704">
        <v>1</v>
      </c>
      <c r="F2836" s="704">
        <v>100</v>
      </c>
      <c r="H2836">
        <f t="shared" si="150"/>
        <v>7213</v>
      </c>
      <c r="I2836" t="str">
        <f t="shared" si="151"/>
        <v>Rest of Tas.</v>
      </c>
    </row>
    <row r="2837" spans="1:9" x14ac:dyDescent="0.2">
      <c r="A2837" s="704">
        <v>7214</v>
      </c>
      <c r="B2837" s="704">
        <v>7214</v>
      </c>
      <c r="C2837" s="704" t="s">
        <v>588</v>
      </c>
      <c r="D2837" s="704" t="s">
        <v>556</v>
      </c>
      <c r="E2837" s="704">
        <v>1</v>
      </c>
      <c r="F2837" s="704">
        <v>100</v>
      </c>
      <c r="H2837">
        <f t="shared" si="150"/>
        <v>7214</v>
      </c>
      <c r="I2837" t="str">
        <f t="shared" si="151"/>
        <v>Rest of Tas.</v>
      </c>
    </row>
    <row r="2838" spans="1:9" x14ac:dyDescent="0.2">
      <c r="A2838" s="704">
        <v>7215</v>
      </c>
      <c r="B2838" s="704">
        <v>7215</v>
      </c>
      <c r="C2838" s="704" t="s">
        <v>588</v>
      </c>
      <c r="D2838" s="704" t="s">
        <v>556</v>
      </c>
      <c r="E2838" s="704">
        <v>0.99831199999999998</v>
      </c>
      <c r="F2838" s="704">
        <v>99.831199999999995</v>
      </c>
      <c r="H2838">
        <f t="shared" si="150"/>
        <v>7215</v>
      </c>
      <c r="I2838" t="str">
        <f t="shared" si="151"/>
        <v>Rest of Tas.</v>
      </c>
    </row>
    <row r="2839" spans="1:9" x14ac:dyDescent="0.2">
      <c r="A2839" s="704">
        <v>7216</v>
      </c>
      <c r="B2839" s="704">
        <v>7216</v>
      </c>
      <c r="C2839" s="704" t="s">
        <v>588</v>
      </c>
      <c r="D2839" s="704" t="s">
        <v>556</v>
      </c>
      <c r="E2839" s="704">
        <v>0.99554500000000001</v>
      </c>
      <c r="F2839" s="704">
        <v>99.554500000000004</v>
      </c>
      <c r="H2839">
        <f t="shared" si="150"/>
        <v>7216</v>
      </c>
      <c r="I2839" t="str">
        <f t="shared" si="151"/>
        <v>Rest of Tas.</v>
      </c>
    </row>
    <row r="2840" spans="1:9" x14ac:dyDescent="0.2">
      <c r="A2840" s="704">
        <v>7248</v>
      </c>
      <c r="B2840" s="704">
        <v>7248</v>
      </c>
      <c r="C2840" s="704" t="s">
        <v>588</v>
      </c>
      <c r="D2840" s="704" t="s">
        <v>556</v>
      </c>
      <c r="E2840" s="704">
        <v>0.99813399999999997</v>
      </c>
      <c r="F2840" s="704">
        <v>99.813400000000001</v>
      </c>
      <c r="H2840">
        <f t="shared" si="150"/>
        <v>7248</v>
      </c>
      <c r="I2840" t="str">
        <f t="shared" si="151"/>
        <v>Rest of Tas.</v>
      </c>
    </row>
    <row r="2841" spans="1:9" x14ac:dyDescent="0.2">
      <c r="A2841" s="704">
        <v>7249</v>
      </c>
      <c r="B2841" s="704">
        <v>7249</v>
      </c>
      <c r="C2841" s="704" t="s">
        <v>588</v>
      </c>
      <c r="D2841" s="704" t="s">
        <v>556</v>
      </c>
      <c r="E2841" s="704">
        <v>1</v>
      </c>
      <c r="F2841" s="704">
        <v>100</v>
      </c>
      <c r="H2841">
        <f t="shared" si="150"/>
        <v>7249</v>
      </c>
      <c r="I2841" t="str">
        <f t="shared" si="151"/>
        <v>Rest of Tas.</v>
      </c>
    </row>
    <row r="2842" spans="1:9" x14ac:dyDescent="0.2">
      <c r="A2842" s="704">
        <v>7250</v>
      </c>
      <c r="B2842" s="704">
        <v>7250</v>
      </c>
      <c r="C2842" s="704" t="s">
        <v>588</v>
      </c>
      <c r="D2842" s="704" t="s">
        <v>556</v>
      </c>
      <c r="E2842" s="704">
        <v>0.99997999999999998</v>
      </c>
      <c r="F2842" s="704">
        <v>99.998000000000005</v>
      </c>
      <c r="H2842">
        <f t="shared" si="150"/>
        <v>7250</v>
      </c>
      <c r="I2842" t="str">
        <f t="shared" si="151"/>
        <v>Rest of Tas.</v>
      </c>
    </row>
    <row r="2843" spans="1:9" x14ac:dyDescent="0.2">
      <c r="A2843" s="704">
        <v>7252</v>
      </c>
      <c r="B2843" s="704">
        <v>7252</v>
      </c>
      <c r="C2843" s="704" t="s">
        <v>588</v>
      </c>
      <c r="D2843" s="704" t="s">
        <v>556</v>
      </c>
      <c r="E2843" s="704">
        <v>0.99912100000000004</v>
      </c>
      <c r="F2843" s="704">
        <v>99.912099999999995</v>
      </c>
      <c r="H2843">
        <f t="shared" si="150"/>
        <v>7252</v>
      </c>
      <c r="I2843" t="str">
        <f t="shared" si="151"/>
        <v>Rest of Tas.</v>
      </c>
    </row>
    <row r="2844" spans="1:9" x14ac:dyDescent="0.2">
      <c r="A2844" s="704">
        <v>7253</v>
      </c>
      <c r="B2844" s="704">
        <v>7253</v>
      </c>
      <c r="C2844" s="704" t="s">
        <v>588</v>
      </c>
      <c r="D2844" s="704" t="s">
        <v>556</v>
      </c>
      <c r="E2844" s="704">
        <v>0.99946000000000002</v>
      </c>
      <c r="F2844" s="704">
        <v>99.945999999999998</v>
      </c>
      <c r="H2844">
        <f t="shared" si="150"/>
        <v>7253</v>
      </c>
      <c r="I2844" t="str">
        <f t="shared" si="151"/>
        <v>Rest of Tas.</v>
      </c>
    </row>
    <row r="2845" spans="1:9" x14ac:dyDescent="0.2">
      <c r="A2845" s="704">
        <v>7254</v>
      </c>
      <c r="B2845" s="704">
        <v>7254</v>
      </c>
      <c r="C2845" s="704" t="s">
        <v>588</v>
      </c>
      <c r="D2845" s="704" t="s">
        <v>556</v>
      </c>
      <c r="E2845" s="704">
        <v>1</v>
      </c>
      <c r="F2845" s="704">
        <v>100</v>
      </c>
      <c r="H2845">
        <f t="shared" si="150"/>
        <v>7254</v>
      </c>
      <c r="I2845" t="str">
        <f t="shared" si="151"/>
        <v>Rest of Tas.</v>
      </c>
    </row>
    <row r="2846" spans="1:9" x14ac:dyDescent="0.2">
      <c r="A2846" s="704">
        <v>7255</v>
      </c>
      <c r="B2846" s="704">
        <v>7255</v>
      </c>
      <c r="C2846" s="704" t="s">
        <v>588</v>
      </c>
      <c r="D2846" s="704" t="s">
        <v>556</v>
      </c>
      <c r="E2846" s="704">
        <v>0.99051</v>
      </c>
      <c r="F2846" s="704">
        <v>99.051000000000002</v>
      </c>
      <c r="H2846">
        <f t="shared" si="150"/>
        <v>7255</v>
      </c>
      <c r="I2846" t="str">
        <f t="shared" si="151"/>
        <v>Rest of Tas.</v>
      </c>
    </row>
    <row r="2847" spans="1:9" x14ac:dyDescent="0.2">
      <c r="A2847" s="704">
        <v>7256</v>
      </c>
      <c r="B2847" s="704">
        <v>7256</v>
      </c>
      <c r="C2847" s="704" t="s">
        <v>588</v>
      </c>
      <c r="D2847" s="704" t="s">
        <v>556</v>
      </c>
      <c r="E2847" s="704">
        <v>0.99999899999999997</v>
      </c>
      <c r="F2847" s="704">
        <v>99.999899999999997</v>
      </c>
      <c r="H2847">
        <f t="shared" si="150"/>
        <v>7256</v>
      </c>
      <c r="I2847" t="str">
        <f t="shared" si="151"/>
        <v>Rest of Tas.</v>
      </c>
    </row>
    <row r="2848" spans="1:9" x14ac:dyDescent="0.2">
      <c r="A2848" s="704">
        <v>7257</v>
      </c>
      <c r="B2848" s="704">
        <v>7257</v>
      </c>
      <c r="C2848" s="704" t="s">
        <v>588</v>
      </c>
      <c r="D2848" s="704" t="s">
        <v>556</v>
      </c>
      <c r="E2848" s="704">
        <v>1</v>
      </c>
      <c r="F2848" s="704">
        <v>100</v>
      </c>
      <c r="H2848">
        <f t="shared" si="150"/>
        <v>7257</v>
      </c>
      <c r="I2848" t="str">
        <f t="shared" si="151"/>
        <v>Rest of Tas.</v>
      </c>
    </row>
    <row r="2849" spans="1:9" x14ac:dyDescent="0.2">
      <c r="A2849" s="704">
        <v>7258</v>
      </c>
      <c r="B2849" s="704">
        <v>7258</v>
      </c>
      <c r="C2849" s="704" t="s">
        <v>588</v>
      </c>
      <c r="D2849" s="704" t="s">
        <v>556</v>
      </c>
      <c r="E2849" s="704">
        <v>1</v>
      </c>
      <c r="F2849" s="704">
        <v>100</v>
      </c>
      <c r="H2849">
        <f t="shared" si="150"/>
        <v>7258</v>
      </c>
      <c r="I2849" t="str">
        <f t="shared" si="151"/>
        <v>Rest of Tas.</v>
      </c>
    </row>
    <row r="2850" spans="1:9" x14ac:dyDescent="0.2">
      <c r="A2850" s="704">
        <v>7259</v>
      </c>
      <c r="B2850" s="704">
        <v>7259</v>
      </c>
      <c r="C2850" s="704" t="s">
        <v>588</v>
      </c>
      <c r="D2850" s="704" t="s">
        <v>556</v>
      </c>
      <c r="E2850" s="704">
        <v>1</v>
      </c>
      <c r="F2850" s="704">
        <v>100</v>
      </c>
      <c r="H2850">
        <f t="shared" si="150"/>
        <v>7259</v>
      </c>
      <c r="I2850" t="str">
        <f t="shared" si="151"/>
        <v>Rest of Tas.</v>
      </c>
    </row>
    <row r="2851" spans="1:9" x14ac:dyDescent="0.2">
      <c r="A2851" s="704">
        <v>7260</v>
      </c>
      <c r="B2851" s="704">
        <v>7260</v>
      </c>
      <c r="C2851" s="704" t="s">
        <v>588</v>
      </c>
      <c r="D2851" s="704" t="s">
        <v>556</v>
      </c>
      <c r="E2851" s="704">
        <v>1</v>
      </c>
      <c r="F2851" s="704">
        <v>100</v>
      </c>
      <c r="H2851">
        <f t="shared" si="150"/>
        <v>7260</v>
      </c>
      <c r="I2851" t="str">
        <f t="shared" si="151"/>
        <v>Rest of Tas.</v>
      </c>
    </row>
    <row r="2852" spans="1:9" x14ac:dyDescent="0.2">
      <c r="A2852" s="704">
        <v>7261</v>
      </c>
      <c r="B2852" s="704">
        <v>7261</v>
      </c>
      <c r="C2852" s="704" t="s">
        <v>588</v>
      </c>
      <c r="D2852" s="704" t="s">
        <v>556</v>
      </c>
      <c r="E2852" s="704">
        <v>1</v>
      </c>
      <c r="F2852" s="704">
        <v>100</v>
      </c>
      <c r="H2852">
        <f t="shared" si="150"/>
        <v>7261</v>
      </c>
      <c r="I2852" t="str">
        <f t="shared" si="151"/>
        <v>Rest of Tas.</v>
      </c>
    </row>
    <row r="2853" spans="1:9" x14ac:dyDescent="0.2">
      <c r="A2853" s="704">
        <v>7262</v>
      </c>
      <c r="B2853" s="704">
        <v>7262</v>
      </c>
      <c r="C2853" s="704" t="s">
        <v>588</v>
      </c>
      <c r="D2853" s="704" t="s">
        <v>556</v>
      </c>
      <c r="E2853" s="704">
        <v>0.99999899999999997</v>
      </c>
      <c r="F2853" s="704">
        <v>99.999899999999997</v>
      </c>
      <c r="H2853">
        <f t="shared" si="150"/>
        <v>7262</v>
      </c>
      <c r="I2853" t="str">
        <f t="shared" si="151"/>
        <v>Rest of Tas.</v>
      </c>
    </row>
    <row r="2854" spans="1:9" x14ac:dyDescent="0.2">
      <c r="A2854" s="704">
        <v>7263</v>
      </c>
      <c r="B2854" s="704">
        <v>7263</v>
      </c>
      <c r="C2854" s="704" t="s">
        <v>588</v>
      </c>
      <c r="D2854" s="704" t="s">
        <v>556</v>
      </c>
      <c r="E2854" s="704">
        <v>1</v>
      </c>
      <c r="F2854" s="704">
        <v>100</v>
      </c>
      <c r="H2854">
        <f t="shared" si="150"/>
        <v>7263</v>
      </c>
      <c r="I2854" t="str">
        <f t="shared" si="151"/>
        <v>Rest of Tas.</v>
      </c>
    </row>
    <row r="2855" spans="1:9" x14ac:dyDescent="0.2">
      <c r="A2855" s="704">
        <v>7264</v>
      </c>
      <c r="B2855" s="704">
        <v>7264</v>
      </c>
      <c r="C2855" s="704" t="s">
        <v>588</v>
      </c>
      <c r="D2855" s="704" t="s">
        <v>556</v>
      </c>
      <c r="E2855" s="704">
        <v>0.99999899999999997</v>
      </c>
      <c r="F2855" s="704">
        <v>99.999899999999997</v>
      </c>
      <c r="H2855">
        <f t="shared" si="150"/>
        <v>7264</v>
      </c>
      <c r="I2855" t="str">
        <f t="shared" si="151"/>
        <v>Rest of Tas.</v>
      </c>
    </row>
    <row r="2856" spans="1:9" x14ac:dyDescent="0.2">
      <c r="A2856" s="704">
        <v>7265</v>
      </c>
      <c r="B2856" s="704">
        <v>7265</v>
      </c>
      <c r="C2856" s="704" t="s">
        <v>588</v>
      </c>
      <c r="D2856" s="704" t="s">
        <v>556</v>
      </c>
      <c r="E2856" s="704">
        <v>1</v>
      </c>
      <c r="F2856" s="704">
        <v>100</v>
      </c>
      <c r="H2856">
        <f t="shared" si="150"/>
        <v>7265</v>
      </c>
      <c r="I2856" t="str">
        <f t="shared" si="151"/>
        <v>Rest of Tas.</v>
      </c>
    </row>
    <row r="2857" spans="1:9" x14ac:dyDescent="0.2">
      <c r="A2857" s="704">
        <v>7267</v>
      </c>
      <c r="B2857" s="704">
        <v>7267</v>
      </c>
      <c r="C2857" s="704" t="s">
        <v>588</v>
      </c>
      <c r="D2857" s="704" t="s">
        <v>556</v>
      </c>
      <c r="E2857" s="704">
        <v>1</v>
      </c>
      <c r="F2857" s="704">
        <v>100</v>
      </c>
      <c r="H2857">
        <f t="shared" si="150"/>
        <v>7267</v>
      </c>
      <c r="I2857" t="str">
        <f t="shared" si="151"/>
        <v>Rest of Tas.</v>
      </c>
    </row>
    <row r="2858" spans="1:9" x14ac:dyDescent="0.2">
      <c r="A2858" s="704">
        <v>7268</v>
      </c>
      <c r="B2858" s="704">
        <v>7268</v>
      </c>
      <c r="C2858" s="704" t="s">
        <v>588</v>
      </c>
      <c r="D2858" s="704" t="s">
        <v>556</v>
      </c>
      <c r="E2858" s="704">
        <v>1</v>
      </c>
      <c r="F2858" s="704">
        <v>100</v>
      </c>
      <c r="H2858">
        <f t="shared" si="150"/>
        <v>7268</v>
      </c>
      <c r="I2858" t="str">
        <f t="shared" si="151"/>
        <v>Rest of Tas.</v>
      </c>
    </row>
    <row r="2859" spans="1:9" x14ac:dyDescent="0.2">
      <c r="A2859" s="704">
        <v>7270</v>
      </c>
      <c r="B2859" s="704">
        <v>7270</v>
      </c>
      <c r="C2859" s="704" t="s">
        <v>588</v>
      </c>
      <c r="D2859" s="704" t="s">
        <v>556</v>
      </c>
      <c r="E2859" s="704">
        <v>0.99548800000000004</v>
      </c>
      <c r="F2859" s="704">
        <v>99.5488</v>
      </c>
      <c r="H2859">
        <f t="shared" si="150"/>
        <v>7270</v>
      </c>
      <c r="I2859" t="str">
        <f t="shared" si="151"/>
        <v>Rest of Tas.</v>
      </c>
    </row>
    <row r="2860" spans="1:9" x14ac:dyDescent="0.2">
      <c r="A2860" s="704">
        <v>7275</v>
      </c>
      <c r="B2860" s="704">
        <v>7275</v>
      </c>
      <c r="C2860" s="704" t="s">
        <v>588</v>
      </c>
      <c r="D2860" s="704" t="s">
        <v>556</v>
      </c>
      <c r="E2860" s="704">
        <v>0.99191300000000004</v>
      </c>
      <c r="F2860" s="704">
        <v>99.191299999999998</v>
      </c>
      <c r="H2860">
        <f t="shared" si="150"/>
        <v>7275</v>
      </c>
      <c r="I2860" t="str">
        <f t="shared" si="151"/>
        <v>Rest of Tas.</v>
      </c>
    </row>
    <row r="2861" spans="1:9" x14ac:dyDescent="0.2">
      <c r="A2861" s="704">
        <v>7276</v>
      </c>
      <c r="B2861" s="704">
        <v>7276</v>
      </c>
      <c r="C2861" s="704" t="s">
        <v>588</v>
      </c>
      <c r="D2861" s="704" t="s">
        <v>556</v>
      </c>
      <c r="E2861" s="704">
        <v>1</v>
      </c>
      <c r="F2861" s="704">
        <v>100</v>
      </c>
      <c r="H2861">
        <f t="shared" si="150"/>
        <v>7276</v>
      </c>
      <c r="I2861" t="str">
        <f t="shared" si="151"/>
        <v>Rest of Tas.</v>
      </c>
    </row>
    <row r="2862" spans="1:9" x14ac:dyDescent="0.2">
      <c r="A2862" s="704">
        <v>7277</v>
      </c>
      <c r="B2862" s="704">
        <v>7277</v>
      </c>
      <c r="C2862" s="704" t="s">
        <v>588</v>
      </c>
      <c r="D2862" s="704" t="s">
        <v>556</v>
      </c>
      <c r="E2862" s="704">
        <v>0.99975099999999995</v>
      </c>
      <c r="F2862" s="704">
        <v>99.975099999999998</v>
      </c>
      <c r="H2862">
        <f t="shared" si="150"/>
        <v>7277</v>
      </c>
      <c r="I2862" t="str">
        <f t="shared" si="151"/>
        <v>Rest of Tas.</v>
      </c>
    </row>
    <row r="2863" spans="1:9" x14ac:dyDescent="0.2">
      <c r="A2863" s="704">
        <v>7290</v>
      </c>
      <c r="B2863" s="704">
        <v>7290</v>
      </c>
      <c r="C2863" s="704" t="s">
        <v>588</v>
      </c>
      <c r="D2863" s="704" t="s">
        <v>556</v>
      </c>
      <c r="E2863" s="704">
        <v>1</v>
      </c>
      <c r="F2863" s="704">
        <v>100</v>
      </c>
      <c r="H2863">
        <f t="shared" si="150"/>
        <v>7290</v>
      </c>
      <c r="I2863" t="str">
        <f t="shared" si="151"/>
        <v>Rest of Tas.</v>
      </c>
    </row>
    <row r="2864" spans="1:9" x14ac:dyDescent="0.2">
      <c r="A2864" s="704">
        <v>7291</v>
      </c>
      <c r="B2864" s="704">
        <v>7291</v>
      </c>
      <c r="C2864" s="704" t="s">
        <v>588</v>
      </c>
      <c r="D2864" s="704" t="s">
        <v>556</v>
      </c>
      <c r="E2864" s="704">
        <v>1</v>
      </c>
      <c r="F2864" s="704">
        <v>100</v>
      </c>
      <c r="H2864">
        <f t="shared" si="150"/>
        <v>7291</v>
      </c>
      <c r="I2864" t="str">
        <f t="shared" si="151"/>
        <v>Rest of Tas.</v>
      </c>
    </row>
    <row r="2865" spans="1:9" x14ac:dyDescent="0.2">
      <c r="A2865" s="704">
        <v>7292</v>
      </c>
      <c r="B2865" s="704">
        <v>7292</v>
      </c>
      <c r="C2865" s="704" t="s">
        <v>588</v>
      </c>
      <c r="D2865" s="704" t="s">
        <v>556</v>
      </c>
      <c r="E2865" s="704">
        <v>1</v>
      </c>
      <c r="F2865" s="704">
        <v>100</v>
      </c>
      <c r="H2865">
        <f t="shared" si="150"/>
        <v>7292</v>
      </c>
      <c r="I2865" t="str">
        <f t="shared" si="151"/>
        <v>Rest of Tas.</v>
      </c>
    </row>
    <row r="2866" spans="1:9" x14ac:dyDescent="0.2">
      <c r="A2866" s="704">
        <v>7300</v>
      </c>
      <c r="B2866" s="704">
        <v>7300</v>
      </c>
      <c r="C2866" s="704" t="s">
        <v>588</v>
      </c>
      <c r="D2866" s="704" t="s">
        <v>556</v>
      </c>
      <c r="E2866" s="704">
        <v>1</v>
      </c>
      <c r="F2866" s="704">
        <v>100</v>
      </c>
      <c r="H2866">
        <f t="shared" si="150"/>
        <v>7300</v>
      </c>
      <c r="I2866" t="str">
        <f t="shared" si="151"/>
        <v>Rest of Tas.</v>
      </c>
    </row>
    <row r="2867" spans="1:9" x14ac:dyDescent="0.2">
      <c r="A2867" s="704">
        <v>7301</v>
      </c>
      <c r="B2867" s="704">
        <v>7301</v>
      </c>
      <c r="C2867" s="704" t="s">
        <v>588</v>
      </c>
      <c r="D2867" s="704" t="s">
        <v>556</v>
      </c>
      <c r="E2867" s="704">
        <v>1</v>
      </c>
      <c r="F2867" s="704">
        <v>100</v>
      </c>
      <c r="H2867">
        <f t="shared" si="150"/>
        <v>7301</v>
      </c>
      <c r="I2867" t="str">
        <f t="shared" si="151"/>
        <v>Rest of Tas.</v>
      </c>
    </row>
    <row r="2868" spans="1:9" x14ac:dyDescent="0.2">
      <c r="A2868" s="704">
        <v>7302</v>
      </c>
      <c r="B2868" s="704">
        <v>7302</v>
      </c>
      <c r="C2868" s="704" t="s">
        <v>588</v>
      </c>
      <c r="D2868" s="704" t="s">
        <v>556</v>
      </c>
      <c r="E2868" s="704">
        <v>1</v>
      </c>
      <c r="F2868" s="704">
        <v>100</v>
      </c>
      <c r="H2868">
        <f t="shared" si="150"/>
        <v>7302</v>
      </c>
      <c r="I2868" t="str">
        <f t="shared" si="151"/>
        <v>Rest of Tas.</v>
      </c>
    </row>
    <row r="2869" spans="1:9" x14ac:dyDescent="0.2">
      <c r="A2869" s="704">
        <v>7303</v>
      </c>
      <c r="B2869" s="704">
        <v>7303</v>
      </c>
      <c r="C2869" s="704" t="s">
        <v>588</v>
      </c>
      <c r="D2869" s="704" t="s">
        <v>556</v>
      </c>
      <c r="E2869" s="704">
        <v>1</v>
      </c>
      <c r="F2869" s="704">
        <v>100</v>
      </c>
      <c r="H2869">
        <f t="shared" si="150"/>
        <v>7303</v>
      </c>
      <c r="I2869" t="str">
        <f t="shared" si="151"/>
        <v>Rest of Tas.</v>
      </c>
    </row>
    <row r="2870" spans="1:9" x14ac:dyDescent="0.2">
      <c r="A2870" s="704">
        <v>7304</v>
      </c>
      <c r="B2870" s="704">
        <v>7304</v>
      </c>
      <c r="C2870" s="704" t="s">
        <v>588</v>
      </c>
      <c r="D2870" s="704" t="s">
        <v>556</v>
      </c>
      <c r="E2870" s="704">
        <v>1</v>
      </c>
      <c r="F2870" s="704">
        <v>100</v>
      </c>
      <c r="H2870">
        <f t="shared" si="150"/>
        <v>7304</v>
      </c>
      <c r="I2870" t="str">
        <f t="shared" si="151"/>
        <v>Rest of Tas.</v>
      </c>
    </row>
    <row r="2871" spans="1:9" x14ac:dyDescent="0.2">
      <c r="A2871" s="704">
        <v>7305</v>
      </c>
      <c r="B2871" s="704">
        <v>7305</v>
      </c>
      <c r="C2871" s="704" t="s">
        <v>588</v>
      </c>
      <c r="D2871" s="704" t="s">
        <v>556</v>
      </c>
      <c r="E2871" s="704">
        <v>1</v>
      </c>
      <c r="F2871" s="704">
        <v>100</v>
      </c>
      <c r="H2871">
        <f t="shared" si="150"/>
        <v>7305</v>
      </c>
      <c r="I2871" t="str">
        <f t="shared" si="151"/>
        <v>Rest of Tas.</v>
      </c>
    </row>
    <row r="2872" spans="1:9" x14ac:dyDescent="0.2">
      <c r="A2872" s="704">
        <v>7306</v>
      </c>
      <c r="B2872" s="704">
        <v>7306</v>
      </c>
      <c r="C2872" s="704" t="s">
        <v>588</v>
      </c>
      <c r="D2872" s="704" t="s">
        <v>556</v>
      </c>
      <c r="E2872" s="704">
        <v>1</v>
      </c>
      <c r="F2872" s="704">
        <v>100</v>
      </c>
      <c r="H2872">
        <f t="shared" si="150"/>
        <v>7306</v>
      </c>
      <c r="I2872" t="str">
        <f t="shared" si="151"/>
        <v>Rest of Tas.</v>
      </c>
    </row>
    <row r="2873" spans="1:9" x14ac:dyDescent="0.2">
      <c r="A2873" s="704">
        <v>7307</v>
      </c>
      <c r="B2873" s="704">
        <v>7307</v>
      </c>
      <c r="C2873" s="704" t="s">
        <v>588</v>
      </c>
      <c r="D2873" s="704" t="s">
        <v>556</v>
      </c>
      <c r="E2873" s="704">
        <v>0.999888</v>
      </c>
      <c r="F2873" s="704">
        <v>99.988799999999998</v>
      </c>
      <c r="H2873">
        <f t="shared" ref="H2873:H2891" si="152">A2873*1</f>
        <v>7307</v>
      </c>
      <c r="I2873" t="str">
        <f t="shared" ref="I2873:I2891" si="153">D2873</f>
        <v>Rest of Tas.</v>
      </c>
    </row>
    <row r="2874" spans="1:9" x14ac:dyDescent="0.2">
      <c r="A2874" s="704">
        <v>7310</v>
      </c>
      <c r="B2874" s="704">
        <v>7310</v>
      </c>
      <c r="C2874" s="704" t="s">
        <v>588</v>
      </c>
      <c r="D2874" s="704" t="s">
        <v>556</v>
      </c>
      <c r="E2874" s="704">
        <v>0.99956299999999998</v>
      </c>
      <c r="F2874" s="704">
        <v>99.956299999999999</v>
      </c>
      <c r="H2874">
        <f t="shared" si="152"/>
        <v>7310</v>
      </c>
      <c r="I2874" t="str">
        <f t="shared" si="153"/>
        <v>Rest of Tas.</v>
      </c>
    </row>
    <row r="2875" spans="1:9" x14ac:dyDescent="0.2">
      <c r="A2875" s="704">
        <v>7315</v>
      </c>
      <c r="B2875" s="704">
        <v>7315</v>
      </c>
      <c r="C2875" s="704" t="s">
        <v>588</v>
      </c>
      <c r="D2875" s="704" t="s">
        <v>556</v>
      </c>
      <c r="E2875" s="704">
        <v>0.99839199999999995</v>
      </c>
      <c r="F2875" s="704">
        <v>99.839200000000005</v>
      </c>
      <c r="H2875">
        <f t="shared" si="152"/>
        <v>7315</v>
      </c>
      <c r="I2875" t="str">
        <f t="shared" si="153"/>
        <v>Rest of Tas.</v>
      </c>
    </row>
    <row r="2876" spans="1:9" x14ac:dyDescent="0.2">
      <c r="A2876" s="704">
        <v>7316</v>
      </c>
      <c r="B2876" s="704">
        <v>7316</v>
      </c>
      <c r="C2876" s="704" t="s">
        <v>588</v>
      </c>
      <c r="D2876" s="704" t="s">
        <v>556</v>
      </c>
      <c r="E2876" s="704">
        <v>0.99976200000000004</v>
      </c>
      <c r="F2876" s="704">
        <v>99.976200000000006</v>
      </c>
      <c r="H2876">
        <f t="shared" si="152"/>
        <v>7316</v>
      </c>
      <c r="I2876" t="str">
        <f t="shared" si="153"/>
        <v>Rest of Tas.</v>
      </c>
    </row>
    <row r="2877" spans="1:9" x14ac:dyDescent="0.2">
      <c r="A2877" s="704">
        <v>7320</v>
      </c>
      <c r="B2877" s="704">
        <v>7320</v>
      </c>
      <c r="C2877" s="704" t="s">
        <v>588</v>
      </c>
      <c r="D2877" s="704" t="s">
        <v>556</v>
      </c>
      <c r="E2877" s="704">
        <v>0.99999099999999996</v>
      </c>
      <c r="F2877" s="704">
        <v>99.999099999999999</v>
      </c>
      <c r="H2877">
        <f t="shared" si="152"/>
        <v>7320</v>
      </c>
      <c r="I2877" t="str">
        <f t="shared" si="153"/>
        <v>Rest of Tas.</v>
      </c>
    </row>
    <row r="2878" spans="1:9" x14ac:dyDescent="0.2">
      <c r="A2878" s="704">
        <v>7321</v>
      </c>
      <c r="B2878" s="704">
        <v>7321</v>
      </c>
      <c r="C2878" s="704" t="s">
        <v>588</v>
      </c>
      <c r="D2878" s="704" t="s">
        <v>556</v>
      </c>
      <c r="E2878" s="704">
        <v>0.99317900000000003</v>
      </c>
      <c r="F2878" s="704">
        <v>99.317899999999995</v>
      </c>
      <c r="H2878">
        <f t="shared" si="152"/>
        <v>7321</v>
      </c>
      <c r="I2878" t="str">
        <f t="shared" si="153"/>
        <v>Rest of Tas.</v>
      </c>
    </row>
    <row r="2879" spans="1:9" x14ac:dyDescent="0.2">
      <c r="A2879" s="704">
        <v>7322</v>
      </c>
      <c r="B2879" s="704">
        <v>7322</v>
      </c>
      <c r="C2879" s="704" t="s">
        <v>588</v>
      </c>
      <c r="D2879" s="704" t="s">
        <v>556</v>
      </c>
      <c r="E2879" s="704">
        <v>0.99773500000000004</v>
      </c>
      <c r="F2879" s="704">
        <v>99.773499999999999</v>
      </c>
      <c r="H2879">
        <f t="shared" si="152"/>
        <v>7322</v>
      </c>
      <c r="I2879" t="str">
        <f t="shared" si="153"/>
        <v>Rest of Tas.</v>
      </c>
    </row>
    <row r="2880" spans="1:9" x14ac:dyDescent="0.2">
      <c r="A2880" s="704">
        <v>7325</v>
      </c>
      <c r="B2880" s="704">
        <v>7325</v>
      </c>
      <c r="C2880" s="704" t="s">
        <v>588</v>
      </c>
      <c r="D2880" s="704" t="s">
        <v>556</v>
      </c>
      <c r="E2880" s="704">
        <v>0.99998600000000004</v>
      </c>
      <c r="F2880" s="704">
        <v>99.998599999999996</v>
      </c>
      <c r="H2880">
        <f t="shared" si="152"/>
        <v>7325</v>
      </c>
      <c r="I2880" t="str">
        <f t="shared" si="153"/>
        <v>Rest of Tas.</v>
      </c>
    </row>
    <row r="2881" spans="1:9" x14ac:dyDescent="0.2">
      <c r="A2881" s="704">
        <v>7330</v>
      </c>
      <c r="B2881" s="704">
        <v>7330</v>
      </c>
      <c r="C2881" s="704" t="s">
        <v>588</v>
      </c>
      <c r="D2881" s="704" t="s">
        <v>556</v>
      </c>
      <c r="E2881" s="704">
        <v>0.99931599999999998</v>
      </c>
      <c r="F2881" s="704">
        <v>99.931600000000003</v>
      </c>
      <c r="H2881">
        <f t="shared" si="152"/>
        <v>7330</v>
      </c>
      <c r="I2881" t="str">
        <f t="shared" si="153"/>
        <v>Rest of Tas.</v>
      </c>
    </row>
    <row r="2882" spans="1:9" x14ac:dyDescent="0.2">
      <c r="A2882" s="704">
        <v>7331</v>
      </c>
      <c r="B2882" s="704">
        <v>7331</v>
      </c>
      <c r="C2882" s="704" t="s">
        <v>588</v>
      </c>
      <c r="D2882" s="704" t="s">
        <v>556</v>
      </c>
      <c r="E2882" s="704">
        <v>0.99726899999999996</v>
      </c>
      <c r="F2882" s="704">
        <v>99.726900000000001</v>
      </c>
      <c r="H2882">
        <f t="shared" si="152"/>
        <v>7331</v>
      </c>
      <c r="I2882" t="str">
        <f t="shared" si="153"/>
        <v>Rest of Tas.</v>
      </c>
    </row>
    <row r="2883" spans="1:9" x14ac:dyDescent="0.2">
      <c r="A2883" s="704">
        <v>7466</v>
      </c>
      <c r="B2883" s="704">
        <v>7466</v>
      </c>
      <c r="C2883" s="704" t="s">
        <v>588</v>
      </c>
      <c r="D2883" s="704" t="s">
        <v>556</v>
      </c>
      <c r="E2883" s="704">
        <v>1</v>
      </c>
      <c r="F2883" s="704">
        <v>100</v>
      </c>
      <c r="H2883">
        <f t="shared" si="152"/>
        <v>7466</v>
      </c>
      <c r="I2883" t="str">
        <f t="shared" si="153"/>
        <v>Rest of Tas.</v>
      </c>
    </row>
    <row r="2884" spans="1:9" x14ac:dyDescent="0.2">
      <c r="A2884" s="704">
        <v>7467</v>
      </c>
      <c r="B2884" s="704">
        <v>7467</v>
      </c>
      <c r="C2884" s="704" t="s">
        <v>588</v>
      </c>
      <c r="D2884" s="704" t="s">
        <v>556</v>
      </c>
      <c r="E2884" s="704">
        <v>1</v>
      </c>
      <c r="F2884" s="704">
        <v>100</v>
      </c>
      <c r="H2884">
        <f t="shared" si="152"/>
        <v>7467</v>
      </c>
      <c r="I2884" t="str">
        <f t="shared" si="153"/>
        <v>Rest of Tas.</v>
      </c>
    </row>
    <row r="2885" spans="1:9" x14ac:dyDescent="0.2">
      <c r="A2885" s="704">
        <v>7468</v>
      </c>
      <c r="B2885" s="704">
        <v>7468</v>
      </c>
      <c r="C2885" s="704" t="s">
        <v>588</v>
      </c>
      <c r="D2885" s="704" t="s">
        <v>556</v>
      </c>
      <c r="E2885" s="704">
        <v>0.97427200000000003</v>
      </c>
      <c r="F2885" s="704">
        <v>97.427199999999999</v>
      </c>
      <c r="H2885">
        <f t="shared" si="152"/>
        <v>7468</v>
      </c>
      <c r="I2885" t="str">
        <f t="shared" si="153"/>
        <v>Rest of Tas.</v>
      </c>
    </row>
    <row r="2886" spans="1:9" x14ac:dyDescent="0.2">
      <c r="A2886" s="704">
        <v>7469</v>
      </c>
      <c r="B2886" s="704">
        <v>7469</v>
      </c>
      <c r="C2886" s="704" t="s">
        <v>588</v>
      </c>
      <c r="D2886" s="704" t="s">
        <v>556</v>
      </c>
      <c r="E2886" s="704">
        <v>1</v>
      </c>
      <c r="F2886" s="704">
        <v>100</v>
      </c>
      <c r="H2886">
        <f t="shared" si="152"/>
        <v>7469</v>
      </c>
      <c r="I2886" t="str">
        <f t="shared" si="153"/>
        <v>Rest of Tas.</v>
      </c>
    </row>
    <row r="2887" spans="1:9" x14ac:dyDescent="0.2">
      <c r="A2887" s="704">
        <v>7470</v>
      </c>
      <c r="B2887" s="704">
        <v>7470</v>
      </c>
      <c r="C2887" s="704" t="s">
        <v>588</v>
      </c>
      <c r="D2887" s="704" t="s">
        <v>556</v>
      </c>
      <c r="E2887" s="704">
        <v>1</v>
      </c>
      <c r="F2887" s="704">
        <v>100</v>
      </c>
      <c r="H2887">
        <f t="shared" si="152"/>
        <v>7470</v>
      </c>
      <c r="I2887" t="str">
        <f t="shared" si="153"/>
        <v>Rest of Tas.</v>
      </c>
    </row>
    <row r="2888" spans="1:9" x14ac:dyDescent="0.2">
      <c r="A2888" s="704" t="s">
        <v>589</v>
      </c>
      <c r="B2888" s="704" t="s">
        <v>589</v>
      </c>
      <c r="C2888" s="704" t="s">
        <v>588</v>
      </c>
      <c r="D2888" s="704" t="s">
        <v>556</v>
      </c>
      <c r="E2888" s="704">
        <v>0.99953700000000001</v>
      </c>
      <c r="F2888" s="704">
        <v>99.953699999999998</v>
      </c>
      <c r="H2888" t="s">
        <v>590</v>
      </c>
      <c r="I2888" t="str">
        <f t="shared" si="153"/>
        <v>Rest of Tas.</v>
      </c>
    </row>
    <row r="2889" spans="1:9" x14ac:dyDescent="0.2">
      <c r="A2889" s="704">
        <v>7001</v>
      </c>
      <c r="B2889" s="704">
        <v>7001</v>
      </c>
      <c r="C2889" s="704" t="s">
        <v>588</v>
      </c>
      <c r="D2889" s="704" t="s">
        <v>558</v>
      </c>
      <c r="E2889" s="704">
        <v>1</v>
      </c>
      <c r="F2889" s="704">
        <v>100</v>
      </c>
      <c r="H2889">
        <f t="shared" si="152"/>
        <v>7001</v>
      </c>
      <c r="I2889" t="str">
        <f t="shared" si="153"/>
        <v>Rest of Tasmania</v>
      </c>
    </row>
    <row r="2890" spans="1:9" x14ac:dyDescent="0.2">
      <c r="A2890" s="704">
        <v>6711</v>
      </c>
      <c r="B2890" s="704">
        <v>6711</v>
      </c>
      <c r="C2890" s="704" t="s">
        <v>565</v>
      </c>
      <c r="D2890" s="704" t="s">
        <v>560</v>
      </c>
      <c r="E2890" s="704">
        <v>1</v>
      </c>
      <c r="F2890" s="704">
        <v>100</v>
      </c>
      <c r="H2890">
        <f t="shared" si="152"/>
        <v>6711</v>
      </c>
      <c r="I2890" t="str">
        <f t="shared" si="153"/>
        <v>Rest of Western Australia</v>
      </c>
    </row>
    <row r="2891" spans="1:9" x14ac:dyDescent="0.2">
      <c r="A2891" s="704">
        <v>6731</v>
      </c>
      <c r="B2891" s="704">
        <v>6731</v>
      </c>
      <c r="C2891" s="704" t="s">
        <v>565</v>
      </c>
      <c r="D2891" s="704" t="s">
        <v>560</v>
      </c>
      <c r="E2891" s="704">
        <v>1</v>
      </c>
      <c r="F2891" s="704">
        <v>100</v>
      </c>
      <c r="H2891">
        <f t="shared" si="152"/>
        <v>6731</v>
      </c>
      <c r="I2891" t="str">
        <f t="shared" si="153"/>
        <v>Rest of Western Australia</v>
      </c>
    </row>
    <row r="2892" spans="1:9" x14ac:dyDescent="0.2">
      <c r="H2892" s="735">
        <v>3213</v>
      </c>
      <c r="I2892" s="735" t="s">
        <v>544</v>
      </c>
    </row>
    <row r="2893" spans="1:9" x14ac:dyDescent="0.2">
      <c r="H2893" s="735">
        <v>3336</v>
      </c>
      <c r="I2893" s="735" t="s">
        <v>544</v>
      </c>
    </row>
    <row r="2894" spans="1:9" x14ac:dyDescent="0.2">
      <c r="H2894" s="735">
        <v>3358</v>
      </c>
      <c r="I2894" s="735" t="s">
        <v>541</v>
      </c>
    </row>
    <row r="2897" spans="3:17" ht="13.5" thickBot="1" x14ac:dyDescent="0.25"/>
    <row r="2898" spans="3:17" ht="15" customHeight="1" thickBot="1" x14ac:dyDescent="0.25">
      <c r="C2898" s="736" t="s">
        <v>591</v>
      </c>
      <c r="D2898" t="s">
        <v>592</v>
      </c>
      <c r="E2898" s="737" t="s">
        <v>593</v>
      </c>
      <c r="F2898" s="738" t="s">
        <v>594</v>
      </c>
      <c r="G2898" s="739" t="s">
        <v>595</v>
      </c>
    </row>
    <row r="2899" spans="3:17" ht="69" customHeight="1" thickTop="1" thickBot="1" x14ac:dyDescent="0.25">
      <c r="C2899" s="740" t="s">
        <v>427</v>
      </c>
      <c r="D2899" s="741"/>
      <c r="E2899" s="742"/>
      <c r="F2899" s="743"/>
      <c r="G2899" s="744" t="s">
        <v>596</v>
      </c>
      <c r="J2899" t="s">
        <v>597</v>
      </c>
      <c r="L2899" s="745" t="s">
        <v>598</v>
      </c>
    </row>
    <row r="2900" spans="3:17" ht="69" customHeight="1" thickTop="1" thickBot="1" x14ac:dyDescent="0.25">
      <c r="C2900" s="746" t="s">
        <v>432</v>
      </c>
      <c r="D2900" s="747"/>
      <c r="E2900" s="748" t="s">
        <v>599</v>
      </c>
      <c r="F2900" s="749" t="s">
        <v>599</v>
      </c>
      <c r="G2900" s="744" t="s">
        <v>432</v>
      </c>
    </row>
    <row r="2901" spans="3:17" ht="69" customHeight="1" thickTop="1" thickBot="1" x14ac:dyDescent="0.25">
      <c r="C2901" s="740" t="s">
        <v>437</v>
      </c>
      <c r="D2901" s="741"/>
      <c r="E2901" s="742" t="s">
        <v>600</v>
      </c>
      <c r="F2901" s="750" t="s">
        <v>600</v>
      </c>
      <c r="G2901" s="744" t="s">
        <v>437</v>
      </c>
    </row>
    <row r="2902" spans="3:17" ht="69" customHeight="1" thickTop="1" thickBot="1" x14ac:dyDescent="0.25">
      <c r="C2902" s="751" t="s">
        <v>442</v>
      </c>
      <c r="D2902" s="752"/>
      <c r="E2902" s="753">
        <v>13209191</v>
      </c>
      <c r="F2902" s="754">
        <v>13209191</v>
      </c>
      <c r="G2902" s="744" t="str">
        <f>C2902</f>
        <v>LMG</v>
      </c>
    </row>
    <row r="2903" spans="3:17" ht="69" customHeight="1" thickTop="1" thickBot="1" x14ac:dyDescent="0.25">
      <c r="C2903" s="751" t="s">
        <v>447</v>
      </c>
      <c r="D2903" s="752"/>
      <c r="E2903" s="755"/>
      <c r="F2903" s="750"/>
      <c r="G2903" s="756" t="s">
        <v>601</v>
      </c>
    </row>
    <row r="2904" spans="3:17" ht="69" customHeight="1" thickTop="1" thickBot="1" x14ac:dyDescent="0.25">
      <c r="C2904" s="746" t="s">
        <v>454</v>
      </c>
      <c r="D2904" s="747"/>
      <c r="E2904" s="748" t="s">
        <v>602</v>
      </c>
      <c r="F2904" s="757" t="s">
        <v>602</v>
      </c>
      <c r="G2904" s="744" t="s">
        <v>603</v>
      </c>
      <c r="L2904" s="758"/>
      <c r="M2904" s="758"/>
      <c r="N2904" s="758"/>
      <c r="O2904" s="758"/>
      <c r="P2904" s="758"/>
      <c r="Q2904" s="758"/>
    </row>
    <row r="2905" spans="3:17" ht="69" customHeight="1" thickTop="1" thickBot="1" x14ac:dyDescent="0.25">
      <c r="C2905" s="751" t="s">
        <v>604</v>
      </c>
      <c r="D2905" s="741"/>
      <c r="E2905" s="759" t="s">
        <v>605</v>
      </c>
      <c r="F2905" s="760"/>
      <c r="G2905" s="761" t="s">
        <v>604</v>
      </c>
      <c r="L2905" s="758"/>
      <c r="M2905" s="758"/>
      <c r="N2905" s="758"/>
      <c r="O2905" s="758"/>
      <c r="P2905" s="758"/>
      <c r="Q2905" s="758"/>
    </row>
    <row r="2906" spans="3:17" ht="65.25" customHeight="1" thickTop="1" thickBot="1" x14ac:dyDescent="0.25">
      <c r="C2906" s="751" t="s">
        <v>606</v>
      </c>
      <c r="D2906" s="747"/>
      <c r="E2906" s="762"/>
      <c r="F2906" s="743"/>
      <c r="G2906" s="761" t="str">
        <f>C2906</f>
        <v xml:space="preserve">LJ Hooker </v>
      </c>
      <c r="L2906" s="758"/>
      <c r="M2906" s="758"/>
      <c r="N2906" s="758"/>
      <c r="O2906" s="758"/>
      <c r="P2906" s="758"/>
      <c r="Q2906" s="758"/>
    </row>
    <row r="2907" spans="3:17" ht="85.5" customHeight="1" thickTop="1" x14ac:dyDescent="0.2">
      <c r="C2907" s="746" t="s">
        <v>460</v>
      </c>
      <c r="D2907" s="758"/>
      <c r="F2907" s="763" t="s">
        <v>607</v>
      </c>
      <c r="G2907" s="764" t="s">
        <v>460</v>
      </c>
    </row>
    <row r="2908" spans="3:17" ht="111" customHeight="1" x14ac:dyDescent="0.2">
      <c r="C2908" s="746" t="s">
        <v>465</v>
      </c>
      <c r="D2908" s="758"/>
      <c r="F2908" s="765" t="s">
        <v>608</v>
      </c>
      <c r="G2908" s="764" t="s">
        <v>465</v>
      </c>
    </row>
    <row r="2909" spans="3:17" ht="110.45" customHeight="1" x14ac:dyDescent="0.2">
      <c r="C2909" s="672" t="s">
        <v>468</v>
      </c>
      <c r="D2909" s="758"/>
      <c r="F2909" s="766"/>
      <c r="G2909" s="764" t="s">
        <v>468</v>
      </c>
    </row>
  </sheetData>
  <sheetProtection algorithmName="SHA-512" hashValue="JH7zx5cBhmLansRkXd9y9Nd6TpQSOC4vUs5DcMggca0773MyTlS3EEMZwUSavAUGn/ZN57c0OmTliS+ri3v4AA==" saltValue="I3ldQMZAaxyaZy7R9eY8/w==" spinCount="100000" sheet="1" objects="1" scenarios="1"/>
  <conditionalFormatting sqref="AE124:AS289">
    <cfRule type="colorScale" priority="1">
      <colorScale>
        <cfvo type="min"/>
        <cfvo type="percentile" val="50"/>
        <cfvo type="max"/>
        <color rgb="FFF8696B"/>
        <color rgb="FFFFEB84"/>
        <color rgb="FF63BE7B"/>
      </colorScale>
    </cfRule>
  </conditionalFormatting>
  <hyperlinks>
    <hyperlink ref="L2899" r:id="rId1" xr:uid="{E50F367C-4078-4D37-B3C6-458DC1D45045}"/>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7EFB3-11E7-4BFB-8A56-B51D12763E12}">
  <sheetPr codeName="Sheet2">
    <tabColor theme="1"/>
    <pageSetUpPr fitToPage="1"/>
  </sheetPr>
  <dimension ref="A1:Q2907"/>
  <sheetViews>
    <sheetView showGridLines="0" tabSelected="1" zoomScaleNormal="100" workbookViewId="0">
      <selection activeCell="G6" sqref="G6"/>
    </sheetView>
  </sheetViews>
  <sheetFormatPr defaultColWidth="14.7109375" defaultRowHeight="12.75" x14ac:dyDescent="0.2"/>
  <cols>
    <col min="1" max="1" width="10.85546875" style="3" customWidth="1"/>
    <col min="2" max="2" width="17.140625" style="3" customWidth="1"/>
    <col min="3" max="3" width="20.7109375" style="3" customWidth="1"/>
    <col min="4" max="4" width="18.42578125" style="3" customWidth="1"/>
    <col min="5" max="5" width="20.7109375" style="3" customWidth="1"/>
    <col min="6" max="6" width="17.42578125" style="3" customWidth="1"/>
    <col min="7" max="7" width="20.7109375" style="3" customWidth="1"/>
    <col min="8" max="8" width="18.7109375" style="3" customWidth="1"/>
    <col min="9" max="9" width="22.5703125" style="3" customWidth="1"/>
    <col min="10" max="10" width="20.7109375" style="3" customWidth="1"/>
    <col min="11" max="11" width="14.140625" style="3" customWidth="1"/>
    <col min="12" max="12" width="17.28515625" style="3" customWidth="1"/>
    <col min="13" max="16" width="13.42578125" style="3" customWidth="1"/>
    <col min="17" max="16384" width="14.7109375" style="3"/>
  </cols>
  <sheetData>
    <row r="1" spans="1:17" x14ac:dyDescent="0.2">
      <c r="A1" s="2" t="str">
        <f>"Serviceability Calculator - v"&amp;Assumptions!S4</f>
        <v>Serviceability Calculator - v04.08.2026</v>
      </c>
      <c r="D1" s="102" t="s">
        <v>65</v>
      </c>
      <c r="E1" s="102"/>
      <c r="F1" s="102"/>
      <c r="G1" s="103"/>
      <c r="H1" s="103"/>
    </row>
    <row r="2" spans="1:17" x14ac:dyDescent="0.2">
      <c r="A2" s="2"/>
    </row>
    <row r="3" spans="1:17" x14ac:dyDescent="0.2">
      <c r="A3" s="2" t="s">
        <v>66</v>
      </c>
      <c r="B3" s="104"/>
      <c r="C3" s="105" t="s">
        <v>67</v>
      </c>
      <c r="D3" s="106"/>
      <c r="F3" s="2" t="s">
        <v>68</v>
      </c>
      <c r="G3" s="104"/>
      <c r="H3" s="50"/>
      <c r="I3" s="2" t="s">
        <v>69</v>
      </c>
      <c r="J3" s="104"/>
    </row>
    <row r="4" spans="1:17" x14ac:dyDescent="0.2">
      <c r="A4" s="2"/>
      <c r="B4" s="105"/>
      <c r="C4" s="105"/>
      <c r="D4" s="105"/>
      <c r="F4" s="2"/>
      <c r="H4" s="4"/>
    </row>
    <row r="5" spans="1:17" x14ac:dyDescent="0.2">
      <c r="A5" s="2" t="s">
        <v>70</v>
      </c>
      <c r="C5" s="106"/>
      <c r="H5" s="4"/>
      <c r="I5" s="2" t="s">
        <v>71</v>
      </c>
      <c r="J5" s="104"/>
    </row>
    <row r="6" spans="1:17" x14ac:dyDescent="0.2">
      <c r="A6" s="2"/>
      <c r="H6" s="4" t="str">
        <f>IF(AND(J5="Yes",J9="Yes"),"Can't use short form for NCCP",IF(AND(J7="Residential",J11="&lt;= $500,000",J5="Yes"),"Can't use short form for residential with turnover &lt;= $500,000",""))</f>
        <v/>
      </c>
    </row>
    <row r="7" spans="1:17" ht="13.5" thickBot="1" x14ac:dyDescent="0.25">
      <c r="A7" s="2" t="s">
        <v>72</v>
      </c>
      <c r="B7" s="107"/>
      <c r="F7" s="78"/>
      <c r="H7" s="50"/>
      <c r="I7" s="2" t="s">
        <v>73</v>
      </c>
      <c r="J7" s="104"/>
      <c r="K7" s="108" t="str">
        <f>IF(AND(J3="Lease Doc",J7&lt;&gt;"Commercial"),"Lease Doc available for Commercial product only","")</f>
        <v/>
      </c>
    </row>
    <row r="8" spans="1:17" ht="13.5" thickTop="1" x14ac:dyDescent="0.2">
      <c r="B8" s="109" t="s">
        <v>15</v>
      </c>
      <c r="C8" s="110" t="s">
        <v>16</v>
      </c>
      <c r="D8" s="9" t="s">
        <v>17</v>
      </c>
      <c r="E8" s="10" t="s">
        <v>74</v>
      </c>
      <c r="H8" s="4"/>
    </row>
    <row r="9" spans="1:17" x14ac:dyDescent="0.2">
      <c r="B9" s="111">
        <v>1</v>
      </c>
      <c r="C9" s="112"/>
      <c r="D9" s="113"/>
      <c r="E9" s="114"/>
      <c r="H9" s="50"/>
      <c r="I9" s="2" t="s">
        <v>75</v>
      </c>
      <c r="J9" s="104"/>
    </row>
    <row r="10" spans="1:17" x14ac:dyDescent="0.2">
      <c r="B10" s="115">
        <f>B9+1</f>
        <v>2</v>
      </c>
      <c r="C10" s="112"/>
      <c r="D10" s="113"/>
      <c r="E10" s="116"/>
      <c r="H10" s="4"/>
    </row>
    <row r="11" spans="1:17" x14ac:dyDescent="0.2">
      <c r="B11" s="115">
        <f t="shared" ref="B11:B20" si="0">B10+1</f>
        <v>3</v>
      </c>
      <c r="C11" s="112"/>
      <c r="D11" s="113"/>
      <c r="E11" s="116"/>
      <c r="H11" s="50"/>
      <c r="I11" s="2" t="s">
        <v>76</v>
      </c>
      <c r="J11" s="104"/>
    </row>
    <row r="12" spans="1:17" x14ac:dyDescent="0.2">
      <c r="B12" s="115">
        <f t="shared" si="0"/>
        <v>4</v>
      </c>
      <c r="C12" s="112"/>
      <c r="D12" s="113"/>
      <c r="E12" s="116"/>
      <c r="M12" s="78"/>
    </row>
    <row r="13" spans="1:17" x14ac:dyDescent="0.2">
      <c r="B13" s="115">
        <f t="shared" si="0"/>
        <v>5</v>
      </c>
      <c r="C13" s="112"/>
      <c r="D13" s="113"/>
      <c r="E13" s="116"/>
      <c r="I13" s="2" t="s">
        <v>77</v>
      </c>
      <c r="J13" s="104" t="s">
        <v>78</v>
      </c>
    </row>
    <row r="14" spans="1:17" x14ac:dyDescent="0.2">
      <c r="B14" s="115">
        <f t="shared" si="0"/>
        <v>6</v>
      </c>
      <c r="C14" s="112"/>
      <c r="D14" s="113"/>
      <c r="E14" s="116"/>
    </row>
    <row r="15" spans="1:17" ht="13.5" thickBot="1" x14ac:dyDescent="0.25">
      <c r="B15" s="115">
        <f t="shared" si="0"/>
        <v>7</v>
      </c>
      <c r="C15" s="112"/>
      <c r="D15" s="113"/>
      <c r="E15" s="116"/>
      <c r="G15" s="2" t="s">
        <v>79</v>
      </c>
      <c r="H15" s="42"/>
      <c r="I15" s="108"/>
    </row>
    <row r="16" spans="1:17" ht="13.5" thickTop="1" x14ac:dyDescent="0.2">
      <c r="B16" s="115">
        <f t="shared" si="0"/>
        <v>8</v>
      </c>
      <c r="C16" s="112"/>
      <c r="D16" s="113"/>
      <c r="E16" s="116"/>
      <c r="G16" s="7" t="s">
        <v>47</v>
      </c>
      <c r="H16" s="9" t="s">
        <v>80</v>
      </c>
      <c r="I16" s="9" t="s">
        <v>81</v>
      </c>
      <c r="J16" s="9" t="s">
        <v>82</v>
      </c>
      <c r="K16" s="9" t="s">
        <v>83</v>
      </c>
      <c r="L16" s="10" t="s">
        <v>84</v>
      </c>
      <c r="N16" s="7" t="s">
        <v>18</v>
      </c>
      <c r="O16" s="9"/>
      <c r="P16" s="9"/>
      <c r="Q16" s="10"/>
    </row>
    <row r="17" spans="1:17" x14ac:dyDescent="0.2">
      <c r="B17" s="115">
        <f t="shared" si="0"/>
        <v>9</v>
      </c>
      <c r="C17" s="112"/>
      <c r="D17" s="113"/>
      <c r="E17" s="116"/>
      <c r="F17" s="117" t="str">
        <f>IF(AND(H17&lt;&gt;"",ISERROR(VLOOKUP(H17,Assumptions!$H$120:$H$2894,1,FALSE))=TRUE),"Review postcode","")</f>
        <v/>
      </c>
      <c r="G17" s="118">
        <v>1</v>
      </c>
      <c r="H17" s="119"/>
      <c r="I17" s="120"/>
      <c r="J17" s="121"/>
      <c r="K17" s="122"/>
      <c r="L17" s="123"/>
      <c r="N17" s="36"/>
      <c r="O17" s="37"/>
      <c r="P17" s="37"/>
      <c r="Q17" s="38"/>
    </row>
    <row r="18" spans="1:17" x14ac:dyDescent="0.2">
      <c r="B18" s="115">
        <f t="shared" si="0"/>
        <v>10</v>
      </c>
      <c r="C18" s="112"/>
      <c r="D18" s="113"/>
      <c r="E18" s="116"/>
      <c r="F18" s="117" t="str">
        <f>IF(AND(H18&lt;&gt;"",ISERROR(VLOOKUP(H18,Assumptions!$H$120:$H$2894,1,FALSE))=TRUE),"Review postcode","")</f>
        <v/>
      </c>
      <c r="G18" s="124">
        <f>G17+1</f>
        <v>2</v>
      </c>
      <c r="H18" s="125"/>
      <c r="I18" s="113"/>
      <c r="J18" s="126"/>
      <c r="K18" s="127"/>
      <c r="L18" s="128"/>
      <c r="N18" s="36"/>
      <c r="O18" s="37"/>
      <c r="P18" s="37"/>
      <c r="Q18" s="38"/>
    </row>
    <row r="19" spans="1:17" x14ac:dyDescent="0.2">
      <c r="B19" s="129">
        <f t="shared" si="0"/>
        <v>11</v>
      </c>
      <c r="C19" s="112"/>
      <c r="D19" s="113"/>
      <c r="E19" s="116"/>
      <c r="F19" s="117" t="str">
        <f>IF(AND(H19&lt;&gt;"",ISERROR(VLOOKUP(H19,Assumptions!$H$120:$H$2894,1,FALSE))=TRUE),"Review postcode","")</f>
        <v/>
      </c>
      <c r="G19" s="124">
        <f t="shared" ref="G19:G20" si="1">G18+1</f>
        <v>3</v>
      </c>
      <c r="H19" s="125"/>
      <c r="I19" s="113"/>
      <c r="J19" s="126"/>
      <c r="K19" s="127"/>
      <c r="L19" s="128"/>
      <c r="N19" s="36"/>
      <c r="O19" s="37"/>
      <c r="P19" s="37"/>
      <c r="Q19" s="38"/>
    </row>
    <row r="20" spans="1:17" ht="13.5" thickBot="1" x14ac:dyDescent="0.25">
      <c r="B20" s="130">
        <f t="shared" si="0"/>
        <v>12</v>
      </c>
      <c r="C20" s="131"/>
      <c r="D20" s="132"/>
      <c r="E20" s="133"/>
      <c r="F20" s="117" t="str">
        <f>IF(AND(H20&lt;&gt;"",ISERROR(VLOOKUP(H20,Assumptions!$H$120:$H$2894,1,FALSE))=TRUE),"Review postcode","")</f>
        <v/>
      </c>
      <c r="G20" s="134">
        <f t="shared" si="1"/>
        <v>4</v>
      </c>
      <c r="H20" s="135"/>
      <c r="I20" s="132"/>
      <c r="J20" s="136"/>
      <c r="K20" s="137"/>
      <c r="L20" s="138"/>
      <c r="N20" s="39"/>
      <c r="O20" s="40"/>
      <c r="P20" s="40"/>
      <c r="Q20" s="41"/>
    </row>
    <row r="21" spans="1:17" ht="13.5" thickTop="1" x14ac:dyDescent="0.2">
      <c r="B21" s="2" t="s">
        <v>85</v>
      </c>
      <c r="D21" s="3" t="str">
        <f>IF(OR(D68&gt;4,E68&gt;4,F68&gt;4,G68&gt;4),"Too many of one entity type","")</f>
        <v/>
      </c>
      <c r="K21" s="78" t="s">
        <v>86</v>
      </c>
    </row>
    <row r="22" spans="1:17" x14ac:dyDescent="0.2">
      <c r="B22" s="2"/>
    </row>
    <row r="23" spans="1:17" ht="13.5" thickBot="1" x14ac:dyDescent="0.25">
      <c r="A23" s="139" t="s">
        <v>87</v>
      </c>
      <c r="B23" s="140"/>
      <c r="C23" s="140"/>
      <c r="D23" s="141"/>
      <c r="E23" s="42">
        <v>1</v>
      </c>
      <c r="F23" s="42">
        <f>E23+1</f>
        <v>2</v>
      </c>
      <c r="G23" s="42">
        <f t="shared" ref="G23:H23" si="2">F23+1</f>
        <v>3</v>
      </c>
      <c r="H23" s="42">
        <f t="shared" si="2"/>
        <v>4</v>
      </c>
      <c r="I23" s="42">
        <v>1</v>
      </c>
      <c r="J23" s="42">
        <f>I23+1</f>
        <v>2</v>
      </c>
      <c r="K23" s="42">
        <f t="shared" ref="K23:L23" si="3">J23+1</f>
        <v>3</v>
      </c>
      <c r="L23" s="42">
        <f t="shared" si="3"/>
        <v>4</v>
      </c>
      <c r="M23" s="42">
        <v>1</v>
      </c>
      <c r="N23" s="42">
        <f>M23+1</f>
        <v>2</v>
      </c>
      <c r="O23" s="42">
        <f t="shared" ref="O23:P23" si="4">N23+1</f>
        <v>3</v>
      </c>
      <c r="P23" s="42">
        <f t="shared" si="4"/>
        <v>4</v>
      </c>
    </row>
    <row r="24" spans="1:17" ht="13.5" thickTop="1" x14ac:dyDescent="0.2">
      <c r="A24" s="142" t="s">
        <v>88</v>
      </c>
      <c r="B24" s="143" t="s">
        <v>15</v>
      </c>
      <c r="C24" s="143" t="s">
        <v>15</v>
      </c>
      <c r="D24" s="144" t="s">
        <v>47</v>
      </c>
      <c r="E24" s="13" t="str">
        <f t="shared" ref="E24" si="5">"Company "&amp;E23</f>
        <v>Company 1</v>
      </c>
      <c r="F24" s="13" t="str">
        <f>"Company "&amp;F23</f>
        <v>Company 2</v>
      </c>
      <c r="G24" s="13" t="str">
        <f t="shared" ref="G24:H24" si="6">"Company "&amp;G23</f>
        <v>Company 3</v>
      </c>
      <c r="H24" s="144" t="str">
        <f t="shared" si="6"/>
        <v>Company 4</v>
      </c>
      <c r="I24" s="13" t="str">
        <f>"Partnership "&amp;I23</f>
        <v>Partnership 1</v>
      </c>
      <c r="J24" s="13" t="str">
        <f t="shared" ref="J24:L24" si="7">"Partnership "&amp;J23</f>
        <v>Partnership 2</v>
      </c>
      <c r="K24" s="13" t="str">
        <f t="shared" si="7"/>
        <v>Partnership 3</v>
      </c>
      <c r="L24" s="144" t="str">
        <f t="shared" si="7"/>
        <v>Partnership 4</v>
      </c>
      <c r="M24" s="13" t="str">
        <f>"Trust "&amp;M23</f>
        <v>Trust 1</v>
      </c>
      <c r="N24" s="13" t="str">
        <f t="shared" ref="N24:P24" si="8">"Trust "&amp;N23</f>
        <v>Trust 2</v>
      </c>
      <c r="O24" s="13" t="str">
        <f t="shared" si="8"/>
        <v>Trust 3</v>
      </c>
      <c r="P24" s="15" t="str">
        <f t="shared" si="8"/>
        <v>Trust 4</v>
      </c>
    </row>
    <row r="25" spans="1:17" x14ac:dyDescent="0.2">
      <c r="A25" s="142"/>
      <c r="B25" s="143"/>
      <c r="C25" s="143" t="s">
        <v>16</v>
      </c>
      <c r="D25" s="145"/>
      <c r="E25" s="143" t="str">
        <f>_xlfn.IFNA(INDEX($B$9:$B$20,MATCH(E23,$D$56:$D$67,0)),"")</f>
        <v/>
      </c>
      <c r="F25" s="143" t="str">
        <f>_xlfn.IFNA(INDEX($B$9:$B$20,MATCH(F23,$D$56:$D$67,0)),"")</f>
        <v/>
      </c>
      <c r="G25" s="143" t="str">
        <f>_xlfn.IFNA(INDEX($B$9:$B$20,MATCH(G23,$D$56:$D$67,0)),"")</f>
        <v/>
      </c>
      <c r="H25" s="145" t="str">
        <f>_xlfn.IFNA(INDEX($B$9:$B$20,MATCH(H23,$D$56:$D$67,0)),"")</f>
        <v/>
      </c>
      <c r="I25" s="143" t="str">
        <f>_xlfn.IFNA(INDEX($B$9:$B$20,MATCH(I23,$E$56:$E$67,0)),"")</f>
        <v/>
      </c>
      <c r="J25" s="143" t="str">
        <f>_xlfn.IFNA(INDEX($B$9:$B$20,MATCH(J23,$E$56:$E$67,0)),"")</f>
        <v/>
      </c>
      <c r="K25" s="143" t="str">
        <f>_xlfn.IFNA(INDEX($B$9:$B$20,MATCH(K23,$E$56:$E$67,0)),"")</f>
        <v/>
      </c>
      <c r="L25" s="145" t="str">
        <f>_xlfn.IFNA(INDEX($B$9:$B$20,MATCH(L23,$E$56:$E$67,0)),"")</f>
        <v/>
      </c>
      <c r="M25" s="143" t="str">
        <f>_xlfn.IFNA(INDEX($B$9:$B$20,MATCH(M23,$F$56:$F$67,0)),"")</f>
        <v/>
      </c>
      <c r="N25" s="143" t="str">
        <f>_xlfn.IFNA(INDEX($B$9:$B$20,MATCH(N23,$F$56:$F$67,0)),"")</f>
        <v/>
      </c>
      <c r="O25" s="143" t="str">
        <f>_xlfn.IFNA(INDEX($B$9:$B$20,MATCH(O23,$F$56:$F$67,0)),"")</f>
        <v/>
      </c>
      <c r="P25" s="146" t="str">
        <f>_xlfn.IFNA(INDEX($B$9:$B$20,MATCH(P23,$F$56:$F$67,0)),"")</f>
        <v/>
      </c>
    </row>
    <row r="26" spans="1:17" x14ac:dyDescent="0.2">
      <c r="A26" s="147"/>
      <c r="B26" s="148"/>
      <c r="C26" s="148"/>
      <c r="D26" s="149"/>
      <c r="E26" s="148" t="str">
        <f t="shared" ref="E26:F26" si="9">IF(E25="","",INDEX($C$9:$C$20,E25))</f>
        <v/>
      </c>
      <c r="F26" s="148" t="str">
        <f t="shared" si="9"/>
        <v/>
      </c>
      <c r="G26" s="148" t="str">
        <f>IF(G25="","",INDEX($C$9:$C$20,G25))</f>
        <v/>
      </c>
      <c r="H26" s="149" t="str">
        <f t="shared" ref="H26:L26" si="10">IF(H25="","",INDEX($C$9:$C$20,H25))</f>
        <v/>
      </c>
      <c r="I26" s="148" t="str">
        <f t="shared" si="10"/>
        <v/>
      </c>
      <c r="J26" s="148" t="str">
        <f t="shared" si="10"/>
        <v/>
      </c>
      <c r="K26" s="148" t="str">
        <f t="shared" si="10"/>
        <v/>
      </c>
      <c r="L26" s="149" t="str">
        <f t="shared" si="10"/>
        <v/>
      </c>
      <c r="M26" s="148" t="str">
        <f>IF(M25="","",INDEX($C$9:$C$20,M25))</f>
        <v/>
      </c>
      <c r="N26" s="148" t="str">
        <f t="shared" ref="N26:P26" si="11">IF(N25="","",INDEX($C$9:$C$20,N25))</f>
        <v/>
      </c>
      <c r="O26" s="148" t="str">
        <f t="shared" si="11"/>
        <v/>
      </c>
      <c r="P26" s="150" t="str">
        <f t="shared" si="11"/>
        <v/>
      </c>
    </row>
    <row r="27" spans="1:17" x14ac:dyDescent="0.2">
      <c r="A27" s="151">
        <v>1</v>
      </c>
      <c r="B27" s="152" t="str">
        <f>_xlfn.IFNA(INDEX($B$9:$B$20,MATCH(A27,$G$56:$G$67,0)),"")</f>
        <v/>
      </c>
      <c r="C27" s="153" t="str">
        <f>_xlfn.IFNA(INDEX($C$9:$C$20,MATCH(A27,$G$56:$G$67,0)),"")</f>
        <v/>
      </c>
      <c r="D27" s="154"/>
      <c r="E27" s="155"/>
      <c r="F27" s="155"/>
      <c r="G27" s="155"/>
      <c r="H27" s="155"/>
      <c r="I27" s="155"/>
      <c r="J27" s="155"/>
      <c r="K27" s="155"/>
      <c r="L27" s="155"/>
      <c r="M27" s="155"/>
      <c r="N27" s="155"/>
      <c r="O27" s="155"/>
      <c r="P27" s="156"/>
    </row>
    <row r="28" spans="1:17" x14ac:dyDescent="0.2">
      <c r="A28" s="129">
        <f>A27+1</f>
        <v>2</v>
      </c>
      <c r="B28" s="152" t="str">
        <f>_xlfn.IFNA(INDEX($B$9:$B$20,MATCH(A28,$G$56:$G$67,0)),"")</f>
        <v/>
      </c>
      <c r="C28" s="153" t="str">
        <f>_xlfn.IFNA(INDEX($C$9:$C$20,MATCH(A28,$G$56:$G$67,0)),"")</f>
        <v/>
      </c>
      <c r="D28" s="157"/>
      <c r="E28" s="158"/>
      <c r="F28" s="158"/>
      <c r="G28" s="158"/>
      <c r="H28" s="158"/>
      <c r="I28" s="158"/>
      <c r="J28" s="158"/>
      <c r="K28" s="158"/>
      <c r="L28" s="158"/>
      <c r="M28" s="158"/>
      <c r="N28" s="158"/>
      <c r="O28" s="158"/>
      <c r="P28" s="159"/>
    </row>
    <row r="29" spans="1:17" x14ac:dyDescent="0.2">
      <c r="A29" s="129">
        <f t="shared" ref="A29:A30" si="12">A28+1</f>
        <v>3</v>
      </c>
      <c r="B29" s="152" t="str">
        <f>_xlfn.IFNA(INDEX($B$9:$B$20,MATCH(A29,$G$56:$G$67,0)),"")</f>
        <v/>
      </c>
      <c r="C29" s="153" t="str">
        <f>_xlfn.IFNA(INDEX($C$9:$C$20,MATCH(A29,$G$56:$G$67,0)),"")</f>
        <v/>
      </c>
      <c r="D29" s="157"/>
      <c r="E29" s="158"/>
      <c r="F29" s="158"/>
      <c r="G29" s="158"/>
      <c r="H29" s="158"/>
      <c r="I29" s="158"/>
      <c r="J29" s="158"/>
      <c r="K29" s="158"/>
      <c r="L29" s="158"/>
      <c r="M29" s="158"/>
      <c r="N29" s="158"/>
      <c r="O29" s="158"/>
      <c r="P29" s="159"/>
    </row>
    <row r="30" spans="1:17" ht="13.5" thickBot="1" x14ac:dyDescent="0.25">
      <c r="A30" s="130">
        <f t="shared" si="12"/>
        <v>4</v>
      </c>
      <c r="B30" s="160" t="str">
        <f>_xlfn.IFNA(INDEX($B$9:$B$20,MATCH(A30,$G$56:$G$67,0)),"")</f>
        <v/>
      </c>
      <c r="C30" s="161" t="str">
        <f>_xlfn.IFNA(INDEX($C$9:$C$20,MATCH(A30,$G$56:$G$67,0)),"")</f>
        <v/>
      </c>
      <c r="D30" s="162"/>
      <c r="E30" s="163"/>
      <c r="F30" s="163"/>
      <c r="G30" s="163"/>
      <c r="H30" s="163"/>
      <c r="I30" s="163"/>
      <c r="J30" s="163"/>
      <c r="K30" s="163"/>
      <c r="L30" s="163"/>
      <c r="M30" s="163"/>
      <c r="N30" s="163"/>
      <c r="O30" s="163"/>
      <c r="P30" s="164"/>
    </row>
    <row r="31" spans="1:17" ht="13.5" thickTop="1" x14ac:dyDescent="0.2">
      <c r="A31" s="767" t="s">
        <v>89</v>
      </c>
      <c r="B31" s="767"/>
      <c r="C31" s="767"/>
      <c r="D31" s="767"/>
      <c r="E31" s="767"/>
      <c r="F31" s="767"/>
      <c r="G31" s="767"/>
      <c r="H31" s="3" t="str">
        <f t="shared" ref="H31" si="13">IF(SUM(H27:H30)&gt;1,"ERROR",IF(AND(H25&lt;&gt;"",SUM(H27:H30)=0),"ALLOCATE",""))</f>
        <v/>
      </c>
      <c r="I31" s="3" t="str">
        <f>IF(SUM(I27:I30)+SUM(D37:D40)&gt;1,"ERROR",IF(AND(I25&lt;&gt;"",SUM(I27:I30)+SUM(D37:D40)=0),"ALLOCATE",""))</f>
        <v/>
      </c>
      <c r="J31" s="3" t="str">
        <f t="shared" ref="J31:P31" si="14">IF(SUM(J27:J30)+SUM(E37:E40)&gt;1,"ERROR",IF(AND(J25&lt;&gt;"",SUM(J27:J30)+SUM(E37:E40)=0),"ALLOCATE",""))</f>
        <v/>
      </c>
      <c r="K31" s="3" t="str">
        <f t="shared" si="14"/>
        <v/>
      </c>
      <c r="L31" s="3" t="str">
        <f t="shared" si="14"/>
        <v/>
      </c>
      <c r="M31" s="3" t="str">
        <f t="shared" si="14"/>
        <v/>
      </c>
      <c r="N31" s="3" t="str">
        <f t="shared" si="14"/>
        <v/>
      </c>
      <c r="O31" s="3" t="str">
        <f t="shared" si="14"/>
        <v/>
      </c>
      <c r="P31" s="3" t="str">
        <f t="shared" si="14"/>
        <v/>
      </c>
    </row>
    <row r="33" spans="1:11" ht="13.5" thickBot="1" x14ac:dyDescent="0.25">
      <c r="A33" s="139" t="s">
        <v>90</v>
      </c>
      <c r="B33" s="140"/>
      <c r="C33" s="140"/>
      <c r="D33" s="165">
        <v>1</v>
      </c>
      <c r="E33" s="42">
        <f>D33+1</f>
        <v>2</v>
      </c>
      <c r="F33" s="42">
        <f t="shared" ref="F33:G33" si="15">E33+1</f>
        <v>3</v>
      </c>
      <c r="G33" s="42">
        <f t="shared" si="15"/>
        <v>4</v>
      </c>
      <c r="H33" s="42">
        <v>1</v>
      </c>
      <c r="I33" s="42">
        <f>H33+1</f>
        <v>2</v>
      </c>
      <c r="J33" s="42">
        <f t="shared" ref="J33:K33" si="16">I33+1</f>
        <v>3</v>
      </c>
      <c r="K33" s="42">
        <f t="shared" si="16"/>
        <v>4</v>
      </c>
    </row>
    <row r="34" spans="1:11" ht="13.5" thickTop="1" x14ac:dyDescent="0.2">
      <c r="A34" s="142" t="s">
        <v>91</v>
      </c>
      <c r="B34" s="143" t="s">
        <v>15</v>
      </c>
      <c r="C34" s="143" t="s">
        <v>15</v>
      </c>
      <c r="D34" s="143" t="str">
        <f>"Partnership "&amp;D33</f>
        <v>Partnership 1</v>
      </c>
      <c r="E34" s="13" t="str">
        <f t="shared" ref="E34:G34" si="17">"Partnership "&amp;E33</f>
        <v>Partnership 2</v>
      </c>
      <c r="F34" s="13" t="str">
        <f t="shared" si="17"/>
        <v>Partnership 3</v>
      </c>
      <c r="G34" s="144" t="str">
        <f t="shared" si="17"/>
        <v>Partnership 4</v>
      </c>
      <c r="H34" s="13" t="str">
        <f>"Trust "&amp;H33</f>
        <v>Trust 1</v>
      </c>
      <c r="I34" s="13" t="str">
        <f t="shared" ref="I34:K34" si="18">"Trust "&amp;I33</f>
        <v>Trust 2</v>
      </c>
      <c r="J34" s="13" t="str">
        <f t="shared" si="18"/>
        <v>Trust 3</v>
      </c>
      <c r="K34" s="15" t="str">
        <f t="shared" si="18"/>
        <v>Trust 4</v>
      </c>
    </row>
    <row r="35" spans="1:11" x14ac:dyDescent="0.2">
      <c r="A35" s="142"/>
      <c r="B35" s="143"/>
      <c r="C35" s="143" t="s">
        <v>16</v>
      </c>
      <c r="D35" s="143" t="str">
        <f>_xlfn.IFNA(INDEX($B$9:$B$20,MATCH(D33,$E$56:$E$67,0)),"")</f>
        <v/>
      </c>
      <c r="E35" s="143" t="str">
        <f>_xlfn.IFNA(INDEX($B$9:$B$20,MATCH(E33,$E$56:$E$67,0)),"")</f>
        <v/>
      </c>
      <c r="F35" s="143" t="str">
        <f>_xlfn.IFNA(INDEX($B$9:$B$20,MATCH(F33,$E$56:$E$67,0)),"")</f>
        <v/>
      </c>
      <c r="G35" s="145" t="str">
        <f>_xlfn.IFNA(INDEX($B$9:$B$20,MATCH(G33,$E$56:$E$67,0)),"")</f>
        <v/>
      </c>
      <c r="H35" s="143" t="str">
        <f>_xlfn.IFNA(INDEX($B$9:$B$20,MATCH(H33,$F$56:$F$67,0)),"")</f>
        <v/>
      </c>
      <c r="I35" s="143" t="str">
        <f>_xlfn.IFNA(INDEX($B$9:$B$20,MATCH(I33,$F$56:$F$67,0)),"")</f>
        <v/>
      </c>
      <c r="J35" s="143" t="str">
        <f>_xlfn.IFNA(INDEX($B$9:$B$20,MATCH(J33,$F$56:$F$67,0)),"")</f>
        <v/>
      </c>
      <c r="K35" s="146" t="str">
        <f>_xlfn.IFNA(INDEX($B$9:$B$20,MATCH(K33,$F$56:$F$67,0)),"")</f>
        <v/>
      </c>
    </row>
    <row r="36" spans="1:11" x14ac:dyDescent="0.2">
      <c r="A36" s="147"/>
      <c r="B36" s="148"/>
      <c r="C36" s="148"/>
      <c r="D36" s="148" t="str">
        <f t="shared" ref="D36:G36" si="19">IF(D35="","",INDEX($C$9:$C$20,D35))</f>
        <v/>
      </c>
      <c r="E36" s="148" t="str">
        <f t="shared" si="19"/>
        <v/>
      </c>
      <c r="F36" s="148" t="str">
        <f t="shared" si="19"/>
        <v/>
      </c>
      <c r="G36" s="149" t="str">
        <f t="shared" si="19"/>
        <v/>
      </c>
      <c r="H36" s="148" t="str">
        <f>IF(H35="","",INDEX($C$9:$C$20,H35))</f>
        <v/>
      </c>
      <c r="I36" s="148" t="str">
        <f t="shared" ref="I36:K36" si="20">IF(I35="","",INDEX($C$9:$C$20,I35))</f>
        <v/>
      </c>
      <c r="J36" s="148" t="str">
        <f t="shared" si="20"/>
        <v/>
      </c>
      <c r="K36" s="150" t="str">
        <f t="shared" si="20"/>
        <v/>
      </c>
    </row>
    <row r="37" spans="1:11" x14ac:dyDescent="0.2">
      <c r="A37" s="151">
        <v>1</v>
      </c>
      <c r="B37" s="166" t="str">
        <f>_xlfn.IFNA(INDEX($B$9:$B$20,MATCH(A37,$D$56:$D$67,0)),"")</f>
        <v/>
      </c>
      <c r="C37" s="153" t="str">
        <f>_xlfn.IFNA(INDEX($C$9:$C$20,MATCH(A37,$D$56:$D$67,0)),"")</f>
        <v/>
      </c>
      <c r="D37" s="155"/>
      <c r="E37" s="155"/>
      <c r="F37" s="155"/>
      <c r="G37" s="155"/>
      <c r="H37" s="155"/>
      <c r="I37" s="155"/>
      <c r="J37" s="155"/>
      <c r="K37" s="156"/>
    </row>
    <row r="38" spans="1:11" x14ac:dyDescent="0.2">
      <c r="A38" s="129">
        <f>A37+1</f>
        <v>2</v>
      </c>
      <c r="B38" s="152" t="str">
        <f>_xlfn.IFNA(INDEX($B$9:$B$20,MATCH(A38,$D$56:$D$67,0)),"")</f>
        <v/>
      </c>
      <c r="C38" s="153" t="str">
        <f>_xlfn.IFNA(INDEX($C$9:$C$20,MATCH(A38,$D$56:$D$67,0)),"")</f>
        <v/>
      </c>
      <c r="D38" s="158"/>
      <c r="E38" s="158"/>
      <c r="F38" s="158"/>
      <c r="G38" s="158"/>
      <c r="H38" s="158"/>
      <c r="I38" s="158"/>
      <c r="J38" s="158"/>
      <c r="K38" s="159"/>
    </row>
    <row r="39" spans="1:11" x14ac:dyDescent="0.2">
      <c r="A39" s="129">
        <f t="shared" ref="A39:A40" si="21">A38+1</f>
        <v>3</v>
      </c>
      <c r="B39" s="152" t="str">
        <f>_xlfn.IFNA(INDEX($B$9:$B$20,MATCH(A39,$D$56:$D$67,0)),"")</f>
        <v/>
      </c>
      <c r="C39" s="153" t="str">
        <f>_xlfn.IFNA(INDEX($C$9:$C$20,MATCH(A39,$D$56:$D$67,0)),"")</f>
        <v/>
      </c>
      <c r="D39" s="158"/>
      <c r="E39" s="158"/>
      <c r="F39" s="158"/>
      <c r="G39" s="158"/>
      <c r="H39" s="158"/>
      <c r="I39" s="158"/>
      <c r="J39" s="158"/>
      <c r="K39" s="159"/>
    </row>
    <row r="40" spans="1:11" ht="13.5" thickBot="1" x14ac:dyDescent="0.25">
      <c r="A40" s="130">
        <f t="shared" si="21"/>
        <v>4</v>
      </c>
      <c r="B40" s="160" t="str">
        <f>_xlfn.IFNA(INDEX($B$9:$B$20,MATCH(A40,$D$56:$D$67,0)),"")</f>
        <v/>
      </c>
      <c r="C40" s="161" t="str">
        <f>_xlfn.IFNA(INDEX($C$9:$C$20,MATCH(A40,$D$56:$D$67,0)),"")</f>
        <v/>
      </c>
      <c r="D40" s="163"/>
      <c r="E40" s="163"/>
      <c r="F40" s="163"/>
      <c r="G40" s="163"/>
      <c r="H40" s="163"/>
      <c r="I40" s="163"/>
      <c r="J40" s="163"/>
      <c r="K40" s="164"/>
    </row>
    <row r="41" spans="1:11" ht="13.5" thickTop="1" x14ac:dyDescent="0.2">
      <c r="A41" s="767" t="s">
        <v>89</v>
      </c>
      <c r="B41" s="767"/>
      <c r="C41" s="767"/>
      <c r="D41" s="767"/>
      <c r="E41" s="767"/>
      <c r="F41" s="767"/>
      <c r="G41" s="767"/>
      <c r="H41" s="3" t="str">
        <f t="shared" ref="H41:K41" si="22">IF(SUM(H37:H40)+SUM(M27:M30)&gt;1,"ERROR",IF(AND(H35&lt;&gt;"",SUM(H37:H40)+SUM(M27:M30)=0),"ALLOCATE",""))</f>
        <v/>
      </c>
      <c r="I41" s="3" t="str">
        <f t="shared" si="22"/>
        <v/>
      </c>
      <c r="J41" s="3" t="str">
        <f t="shared" si="22"/>
        <v/>
      </c>
      <c r="K41" s="3" t="str">
        <f t="shared" si="22"/>
        <v/>
      </c>
    </row>
    <row r="43" spans="1:11" hidden="1" x14ac:dyDescent="0.2"/>
    <row r="44" spans="1:11" hidden="1" x14ac:dyDescent="0.2"/>
    <row r="45" spans="1:11" hidden="1" x14ac:dyDescent="0.2"/>
    <row r="46" spans="1:11" hidden="1" x14ac:dyDescent="0.2"/>
    <row r="47" spans="1:11" hidden="1" x14ac:dyDescent="0.2"/>
    <row r="48" spans="1:11" hidden="1" x14ac:dyDescent="0.2"/>
    <row r="49" spans="2:7" hidden="1" x14ac:dyDescent="0.2"/>
    <row r="50" spans="2:7" hidden="1" x14ac:dyDescent="0.2"/>
    <row r="51" spans="2:7" s="78" customFormat="1" hidden="1" x14ac:dyDescent="0.2"/>
    <row r="52" spans="2:7" s="78" customFormat="1" hidden="1" x14ac:dyDescent="0.2"/>
    <row r="53" spans="2:7" s="78" customFormat="1" hidden="1" x14ac:dyDescent="0.2"/>
    <row r="54" spans="2:7" s="78" customFormat="1" hidden="1" x14ac:dyDescent="0.2"/>
    <row r="55" spans="2:7" s="78" customFormat="1" hidden="1" x14ac:dyDescent="0.2">
      <c r="B55" s="167" t="s">
        <v>15</v>
      </c>
      <c r="C55" s="168" t="s">
        <v>92</v>
      </c>
      <c r="D55" s="168" t="s">
        <v>91</v>
      </c>
      <c r="E55" s="168" t="s">
        <v>43</v>
      </c>
      <c r="F55" s="168" t="s">
        <v>93</v>
      </c>
      <c r="G55" s="169" t="s">
        <v>88</v>
      </c>
    </row>
    <row r="56" spans="2:7" s="78" customFormat="1" hidden="1" x14ac:dyDescent="0.2">
      <c r="B56" s="170">
        <v>1</v>
      </c>
      <c r="C56" s="78" t="str">
        <f>IF(E9="Borrower",COUNTIF(E$9:E9,"Borrower"),"")</f>
        <v/>
      </c>
      <c r="D56" s="78" t="str">
        <f>IF($D9=D$55,COUNTIF($D$9:$D9,D$55),"")</f>
        <v/>
      </c>
      <c r="E56" s="78" t="str">
        <f>IF($D9=E$55,COUNTIF($D$9:$D9,E$55),"")</f>
        <v/>
      </c>
      <c r="F56" s="78" t="str">
        <f>IF($D9=F$55,COUNTIF($D$9:$D9,F$55),"")</f>
        <v/>
      </c>
      <c r="G56" s="171" t="str">
        <f>IF($D9=G$55,COUNTIF($D$9:$D9,G$55),"")</f>
        <v/>
      </c>
    </row>
    <row r="57" spans="2:7" s="78" customFormat="1" hidden="1" x14ac:dyDescent="0.2">
      <c r="B57" s="170">
        <f>B56+1</f>
        <v>2</v>
      </c>
      <c r="C57" s="78" t="str">
        <f>IF(E10="Borrower",COUNTIF(E$9:E10,"Borrower"),"")</f>
        <v/>
      </c>
      <c r="D57" s="78" t="str">
        <f>IF($D10=D$55,COUNTIF($D$9:$D10,D$55),"")</f>
        <v/>
      </c>
      <c r="E57" s="78" t="str">
        <f>IF($D10=E$55,COUNTIF($D$9:$D10,E$55),"")</f>
        <v/>
      </c>
      <c r="F57" s="78" t="str">
        <f>IF($D10=F$55,COUNTIF($D$9:$D10,F$55),"")</f>
        <v/>
      </c>
      <c r="G57" s="171" t="str">
        <f>IF($D10=G$55,COUNTIF($D$9:$D10,G$55),"")</f>
        <v/>
      </c>
    </row>
    <row r="58" spans="2:7" s="78" customFormat="1" hidden="1" x14ac:dyDescent="0.2">
      <c r="B58" s="170">
        <f t="shared" ref="B58:B67" si="23">B57+1</f>
        <v>3</v>
      </c>
      <c r="C58" s="78" t="str">
        <f>IF(E11="Borrower",COUNTIF(E$9:E11,"Borrower"),"")</f>
        <v/>
      </c>
      <c r="D58" s="78" t="str">
        <f>IF($D11=D$55,COUNTIF($D$9:$D11,D$55),"")</f>
        <v/>
      </c>
      <c r="E58" s="78" t="str">
        <f>IF($D11=E$55,COUNTIF($D$9:$D11,E$55),"")</f>
        <v/>
      </c>
      <c r="F58" s="78" t="str">
        <f>IF($D11=F$55,COUNTIF($D$9:$D11,F$55),"")</f>
        <v/>
      </c>
      <c r="G58" s="171" t="str">
        <f>IF($D11=G$55,COUNTIF($D$9:$D11,G$55),"")</f>
        <v/>
      </c>
    </row>
    <row r="59" spans="2:7" s="78" customFormat="1" hidden="1" x14ac:dyDescent="0.2">
      <c r="B59" s="170">
        <f t="shared" si="23"/>
        <v>4</v>
      </c>
      <c r="C59" s="78" t="str">
        <f>IF(E12="Borrower",COUNTIF(E$9:E12,"Borrower"),"")</f>
        <v/>
      </c>
      <c r="D59" s="78" t="str">
        <f>IF($D12=D$55,COUNTIF($D$9:$D12,D$55),"")</f>
        <v/>
      </c>
      <c r="E59" s="78" t="str">
        <f>IF($D12=E$55,COUNTIF($D$9:$D12,E$55),"")</f>
        <v/>
      </c>
      <c r="F59" s="78" t="str">
        <f>IF($D12=F$55,COUNTIF($D$9:$D12,F$55),"")</f>
        <v/>
      </c>
      <c r="G59" s="171" t="str">
        <f>IF($D12=G$55,COUNTIF($D$9:$D12,G$55),"")</f>
        <v/>
      </c>
    </row>
    <row r="60" spans="2:7" s="78" customFormat="1" hidden="1" x14ac:dyDescent="0.2">
      <c r="B60" s="170">
        <f t="shared" si="23"/>
        <v>5</v>
      </c>
      <c r="C60" s="78" t="str">
        <f>IF(E13="Borrower",COUNTIF(E$9:E13,"Borrower"),"")</f>
        <v/>
      </c>
      <c r="D60" s="78" t="str">
        <f>IF($D13=D$55,COUNTIF($D$9:$D13,D$55),"")</f>
        <v/>
      </c>
      <c r="E60" s="78" t="str">
        <f>IF($D13=E$55,COUNTIF($D$9:$D13,E$55),"")</f>
        <v/>
      </c>
      <c r="F60" s="78" t="str">
        <f>IF($D13=F$55,COUNTIF($D$9:$D13,F$55),"")</f>
        <v/>
      </c>
      <c r="G60" s="171" t="str">
        <f>IF($D13=G$55,COUNTIF($D$9:$D13,G$55),"")</f>
        <v/>
      </c>
    </row>
    <row r="61" spans="2:7" s="78" customFormat="1" hidden="1" x14ac:dyDescent="0.2">
      <c r="B61" s="170">
        <f t="shared" si="23"/>
        <v>6</v>
      </c>
      <c r="C61" s="78" t="str">
        <f>IF(E14="Borrower",COUNTIF(E$9:E14,"Borrower"),"")</f>
        <v/>
      </c>
      <c r="D61" s="78" t="str">
        <f>IF($D14=D$55,COUNTIF($D$9:$D14,D$55),"")</f>
        <v/>
      </c>
      <c r="E61" s="78" t="str">
        <f>IF($D14=E$55,COUNTIF($D$9:$D14,E$55),"")</f>
        <v/>
      </c>
      <c r="F61" s="78" t="str">
        <f>IF($D14=F$55,COUNTIF($D$9:$D14,F$55),"")</f>
        <v/>
      </c>
      <c r="G61" s="171" t="str">
        <f>IF($D14=G$55,COUNTIF($D$9:$D14,G$55),"")</f>
        <v/>
      </c>
    </row>
    <row r="62" spans="2:7" s="78" customFormat="1" hidden="1" x14ac:dyDescent="0.2">
      <c r="B62" s="170">
        <f t="shared" si="23"/>
        <v>7</v>
      </c>
      <c r="C62" s="78" t="str">
        <f>IF(E15="Borrower",COUNTIF(E$9:E15,"Borrower"),"")</f>
        <v/>
      </c>
      <c r="D62" s="78" t="str">
        <f>IF($D15=D$55,COUNTIF($D$9:$D15,D$55),"")</f>
        <v/>
      </c>
      <c r="E62" s="78" t="str">
        <f>IF($D15=E$55,COUNTIF($D$9:$D15,E$55),"")</f>
        <v/>
      </c>
      <c r="F62" s="78" t="str">
        <f>IF($D15=F$55,COUNTIF($D$9:$D15,F$55),"")</f>
        <v/>
      </c>
      <c r="G62" s="171" t="str">
        <f>IF($D15=G$55,COUNTIF($D$9:$D15,G$55),"")</f>
        <v/>
      </c>
    </row>
    <row r="63" spans="2:7" s="78" customFormat="1" hidden="1" x14ac:dyDescent="0.2">
      <c r="B63" s="170">
        <f t="shared" si="23"/>
        <v>8</v>
      </c>
      <c r="C63" s="78" t="str">
        <f>IF(E16="Borrower",COUNTIF(E$9:E16,"Borrower"),"")</f>
        <v/>
      </c>
      <c r="D63" s="78" t="str">
        <f>IF($D16=D$55,COUNTIF($D$9:$D16,D$55),"")</f>
        <v/>
      </c>
      <c r="E63" s="78" t="str">
        <f>IF($D16=E$55,COUNTIF($D$9:$D16,E$55),"")</f>
        <v/>
      </c>
      <c r="F63" s="78" t="str">
        <f>IF($D16=F$55,COUNTIF($D$9:$D16,F$55),"")</f>
        <v/>
      </c>
      <c r="G63" s="171" t="str">
        <f>IF($D16=G$55,COUNTIF($D$9:$D16,G$55),"")</f>
        <v/>
      </c>
    </row>
    <row r="64" spans="2:7" s="78" customFormat="1" hidden="1" x14ac:dyDescent="0.2">
      <c r="B64" s="170">
        <f t="shared" si="23"/>
        <v>9</v>
      </c>
      <c r="C64" s="78" t="str">
        <f>IF(E17="Borrower",COUNTIF(E$9:E17,"Borrower"),"")</f>
        <v/>
      </c>
      <c r="D64" s="78" t="str">
        <f>IF($D17=D$55,COUNTIF($D$9:$D17,D$55),"")</f>
        <v/>
      </c>
      <c r="E64" s="78" t="str">
        <f>IF($D17=E$55,COUNTIF($D$9:$D17,E$55),"")</f>
        <v/>
      </c>
      <c r="F64" s="78" t="str">
        <f>IF($D17=F$55,COUNTIF($D$9:$D17,F$55),"")</f>
        <v/>
      </c>
      <c r="G64" s="171" t="str">
        <f>IF($D17=G$55,COUNTIF($D$9:$D17,G$55),"")</f>
        <v/>
      </c>
    </row>
    <row r="65" spans="2:7" s="78" customFormat="1" hidden="1" x14ac:dyDescent="0.2">
      <c r="B65" s="170">
        <f t="shared" si="23"/>
        <v>10</v>
      </c>
      <c r="C65" s="78" t="str">
        <f>IF(E18="Borrower",COUNTIF(E$9:E18,"Borrower"),"")</f>
        <v/>
      </c>
      <c r="D65" s="78" t="str">
        <f>IF($D18=D$55,COUNTIF($D$9:$D18,D$55),"")</f>
        <v/>
      </c>
      <c r="E65" s="78" t="str">
        <f>IF($D18=E$55,COUNTIF($D$9:$D18,E$55),"")</f>
        <v/>
      </c>
      <c r="F65" s="78" t="str">
        <f>IF($D18=F$55,COUNTIF($D$9:$D18,F$55),"")</f>
        <v/>
      </c>
      <c r="G65" s="171" t="str">
        <f>IF($D18=G$55,COUNTIF($D$9:$D18,G$55),"")</f>
        <v/>
      </c>
    </row>
    <row r="66" spans="2:7" s="78" customFormat="1" hidden="1" x14ac:dyDescent="0.2">
      <c r="B66" s="170">
        <f t="shared" si="23"/>
        <v>11</v>
      </c>
      <c r="C66" s="78" t="str">
        <f>IF(E19="Borrower",COUNTIF(E$9:E19,"Borrower"),"")</f>
        <v/>
      </c>
      <c r="D66" s="78" t="str">
        <f>IF($D19=D$55,COUNTIF($D$9:$D19,D$55),"")</f>
        <v/>
      </c>
      <c r="E66" s="78" t="str">
        <f>IF($D19=E$55,COUNTIF($D$9:$D19,E$55),"")</f>
        <v/>
      </c>
      <c r="F66" s="78" t="str">
        <f>IF($D19=F$55,COUNTIF($D$9:$D19,F$55),"")</f>
        <v/>
      </c>
      <c r="G66" s="171" t="str">
        <f>IF($D19=G$55,COUNTIF($D$9:$D19,G$55),"")</f>
        <v/>
      </c>
    </row>
    <row r="67" spans="2:7" s="78" customFormat="1" hidden="1" x14ac:dyDescent="0.2">
      <c r="B67" s="172">
        <f t="shared" si="23"/>
        <v>12</v>
      </c>
      <c r="C67" s="173" t="str">
        <f>IF(E20="Borrower",COUNTIF(E$9:E20,"Borrower"),"")</f>
        <v/>
      </c>
      <c r="D67" s="173" t="str">
        <f>IF($D20=D$55,COUNTIF($D$9:$D20,D$55),"")</f>
        <v/>
      </c>
      <c r="E67" s="173" t="str">
        <f>IF($D20=E$55,COUNTIF($D$9:$D20,E$55),"")</f>
        <v/>
      </c>
      <c r="F67" s="173" t="str">
        <f>IF($D20=F$55,COUNTIF($D$9:$D20,F$55),"")</f>
        <v/>
      </c>
      <c r="G67" s="174" t="str">
        <f>IF($D20=G$55,COUNTIF($D$9:$D20,G$55),"")</f>
        <v/>
      </c>
    </row>
    <row r="68" spans="2:7" s="78" customFormat="1" hidden="1" x14ac:dyDescent="0.2">
      <c r="D68" s="78">
        <f>COUNT(D56:D67)</f>
        <v>0</v>
      </c>
      <c r="E68" s="78">
        <f t="shared" ref="E68:G68" si="24">COUNT(E56:E67)</f>
        <v>0</v>
      </c>
      <c r="F68" s="78">
        <f t="shared" si="24"/>
        <v>0</v>
      </c>
      <c r="G68" s="78">
        <f t="shared" si="24"/>
        <v>0</v>
      </c>
    </row>
    <row r="69" spans="2:7" s="78" customFormat="1" hidden="1" x14ac:dyDescent="0.2"/>
    <row r="70" spans="2:7" s="78" customFormat="1" hidden="1" x14ac:dyDescent="0.2"/>
    <row r="71" spans="2:7" s="78" customFormat="1" hidden="1" x14ac:dyDescent="0.2">
      <c r="B71" s="78" t="s">
        <v>94</v>
      </c>
    </row>
    <row r="72" spans="2:7" s="78" customFormat="1" hidden="1" x14ac:dyDescent="0.2">
      <c r="C72" s="78" t="s">
        <v>88</v>
      </c>
    </row>
    <row r="73" spans="2:7" s="78" customFormat="1" hidden="1" x14ac:dyDescent="0.2">
      <c r="B73" s="78" t="s">
        <v>91</v>
      </c>
      <c r="C73" s="78">
        <v>1</v>
      </c>
      <c r="D73" s="78">
        <f>C73+1</f>
        <v>2</v>
      </c>
      <c r="E73" s="78">
        <f t="shared" ref="E73:F73" si="25">D73+1</f>
        <v>3</v>
      </c>
      <c r="F73" s="78">
        <f t="shared" si="25"/>
        <v>4</v>
      </c>
    </row>
    <row r="74" spans="2:7" s="78" customFormat="1" hidden="1" x14ac:dyDescent="0.2">
      <c r="B74" s="78">
        <v>1</v>
      </c>
      <c r="C74" s="175">
        <f t="shared" ref="C74:F77" si="26">INDEX($E$27:$H$30,C$73,$B74)</f>
        <v>0</v>
      </c>
      <c r="D74" s="175">
        <f t="shared" si="26"/>
        <v>0</v>
      </c>
      <c r="E74" s="175">
        <f t="shared" si="26"/>
        <v>0</v>
      </c>
      <c r="F74" s="175">
        <f t="shared" si="26"/>
        <v>0</v>
      </c>
    </row>
    <row r="75" spans="2:7" s="78" customFormat="1" hidden="1" x14ac:dyDescent="0.2">
      <c r="B75" s="78">
        <f>B74+1</f>
        <v>2</v>
      </c>
      <c r="C75" s="175">
        <f t="shared" si="26"/>
        <v>0</v>
      </c>
      <c r="D75" s="175">
        <f t="shared" si="26"/>
        <v>0</v>
      </c>
      <c r="E75" s="175">
        <f t="shared" si="26"/>
        <v>0</v>
      </c>
      <c r="F75" s="175">
        <f t="shared" si="26"/>
        <v>0</v>
      </c>
    </row>
    <row r="76" spans="2:7" s="78" customFormat="1" hidden="1" x14ac:dyDescent="0.2">
      <c r="B76" s="78">
        <f t="shared" ref="B76:B77" si="27">B75+1</f>
        <v>3</v>
      </c>
      <c r="C76" s="175">
        <f t="shared" si="26"/>
        <v>0</v>
      </c>
      <c r="D76" s="175">
        <f t="shared" si="26"/>
        <v>0</v>
      </c>
      <c r="E76" s="175">
        <f t="shared" si="26"/>
        <v>0</v>
      </c>
      <c r="F76" s="175">
        <f t="shared" si="26"/>
        <v>0</v>
      </c>
    </row>
    <row r="77" spans="2:7" s="78" customFormat="1" hidden="1" x14ac:dyDescent="0.2">
      <c r="B77" s="78">
        <f t="shared" si="27"/>
        <v>4</v>
      </c>
      <c r="C77" s="175">
        <f t="shared" si="26"/>
        <v>0</v>
      </c>
      <c r="D77" s="175">
        <f t="shared" si="26"/>
        <v>0</v>
      </c>
      <c r="E77" s="175">
        <f t="shared" si="26"/>
        <v>0</v>
      </c>
      <c r="F77" s="175">
        <f t="shared" si="26"/>
        <v>0</v>
      </c>
    </row>
    <row r="78" spans="2:7" s="78" customFormat="1" hidden="1" x14ac:dyDescent="0.2"/>
    <row r="79" spans="2:7" s="78" customFormat="1" hidden="1" x14ac:dyDescent="0.2">
      <c r="C79" s="78" t="s">
        <v>88</v>
      </c>
    </row>
    <row r="80" spans="2:7" s="78" customFormat="1" hidden="1" x14ac:dyDescent="0.2">
      <c r="B80" s="78" t="s">
        <v>43</v>
      </c>
      <c r="C80" s="78">
        <v>1</v>
      </c>
      <c r="D80" s="78">
        <f>C80+1</f>
        <v>2</v>
      </c>
      <c r="E80" s="78">
        <f t="shared" ref="E80:F80" si="28">D80+1</f>
        <v>3</v>
      </c>
      <c r="F80" s="78">
        <f t="shared" si="28"/>
        <v>4</v>
      </c>
    </row>
    <row r="81" spans="2:10" s="78" customFormat="1" hidden="1" x14ac:dyDescent="0.2">
      <c r="B81" s="78">
        <v>1</v>
      </c>
      <c r="C81" s="175">
        <f t="shared" ref="C81:F84" si="29">INDEX($I$27:$L$30,C$80,$B81)</f>
        <v>0</v>
      </c>
      <c r="D81" s="175">
        <f t="shared" si="29"/>
        <v>0</v>
      </c>
      <c r="E81" s="175">
        <f t="shared" si="29"/>
        <v>0</v>
      </c>
      <c r="F81" s="175">
        <f t="shared" si="29"/>
        <v>0</v>
      </c>
      <c r="G81" s="175"/>
      <c r="H81" s="175"/>
      <c r="I81" s="175"/>
      <c r="J81" s="175"/>
    </row>
    <row r="82" spans="2:10" s="78" customFormat="1" hidden="1" x14ac:dyDescent="0.2">
      <c r="B82" s="78">
        <f>B81+1</f>
        <v>2</v>
      </c>
      <c r="C82" s="175">
        <f t="shared" si="29"/>
        <v>0</v>
      </c>
      <c r="D82" s="175">
        <f t="shared" si="29"/>
        <v>0</v>
      </c>
      <c r="E82" s="175">
        <f t="shared" si="29"/>
        <v>0</v>
      </c>
      <c r="F82" s="175">
        <f t="shared" si="29"/>
        <v>0</v>
      </c>
      <c r="G82" s="175"/>
      <c r="H82" s="175"/>
      <c r="I82" s="175"/>
      <c r="J82" s="175"/>
    </row>
    <row r="83" spans="2:10" s="78" customFormat="1" hidden="1" x14ac:dyDescent="0.2">
      <c r="B83" s="78">
        <f t="shared" ref="B83:B84" si="30">B82+1</f>
        <v>3</v>
      </c>
      <c r="C83" s="175">
        <f t="shared" si="29"/>
        <v>0</v>
      </c>
      <c r="D83" s="175">
        <f t="shared" si="29"/>
        <v>0</v>
      </c>
      <c r="E83" s="175">
        <f t="shared" si="29"/>
        <v>0</v>
      </c>
      <c r="F83" s="175">
        <f t="shared" si="29"/>
        <v>0</v>
      </c>
      <c r="G83" s="175"/>
      <c r="H83" s="175"/>
      <c r="I83" s="175"/>
      <c r="J83" s="175"/>
    </row>
    <row r="84" spans="2:10" s="78" customFormat="1" hidden="1" x14ac:dyDescent="0.2">
      <c r="B84" s="78">
        <f t="shared" si="30"/>
        <v>4</v>
      </c>
      <c r="C84" s="175">
        <f t="shared" si="29"/>
        <v>0</v>
      </c>
      <c r="D84" s="175">
        <f t="shared" si="29"/>
        <v>0</v>
      </c>
      <c r="E84" s="175">
        <f t="shared" si="29"/>
        <v>0</v>
      </c>
      <c r="F84" s="175">
        <f t="shared" si="29"/>
        <v>0</v>
      </c>
      <c r="G84" s="175"/>
      <c r="H84" s="175"/>
      <c r="I84" s="175"/>
      <c r="J84" s="175"/>
    </row>
    <row r="85" spans="2:10" s="78" customFormat="1" hidden="1" x14ac:dyDescent="0.2"/>
    <row r="86" spans="2:10" s="78" customFormat="1" hidden="1" x14ac:dyDescent="0.2">
      <c r="C86" s="78" t="s">
        <v>88</v>
      </c>
    </row>
    <row r="87" spans="2:10" s="78" customFormat="1" hidden="1" x14ac:dyDescent="0.2">
      <c r="B87" s="78" t="s">
        <v>93</v>
      </c>
      <c r="C87" s="78">
        <v>1</v>
      </c>
      <c r="D87" s="78">
        <f>C87+1</f>
        <v>2</v>
      </c>
      <c r="E87" s="78">
        <f t="shared" ref="E87:F87" si="31">D87+1</f>
        <v>3</v>
      </c>
      <c r="F87" s="78">
        <f t="shared" si="31"/>
        <v>4</v>
      </c>
    </row>
    <row r="88" spans="2:10" s="78" customFormat="1" hidden="1" x14ac:dyDescent="0.2">
      <c r="B88" s="78">
        <v>1</v>
      </c>
      <c r="C88" s="175">
        <f t="shared" ref="C88:F91" si="32">INDEX($M$27:$P$30,C$87,$B88)</f>
        <v>0</v>
      </c>
      <c r="D88" s="175">
        <f t="shared" si="32"/>
        <v>0</v>
      </c>
      <c r="E88" s="175">
        <f t="shared" si="32"/>
        <v>0</v>
      </c>
      <c r="F88" s="175">
        <f t="shared" si="32"/>
        <v>0</v>
      </c>
      <c r="G88" s="175"/>
      <c r="H88" s="175"/>
      <c r="I88" s="175"/>
      <c r="J88" s="175"/>
    </row>
    <row r="89" spans="2:10" s="78" customFormat="1" hidden="1" x14ac:dyDescent="0.2">
      <c r="B89" s="78">
        <f>B88+1</f>
        <v>2</v>
      </c>
      <c r="C89" s="175">
        <f t="shared" si="32"/>
        <v>0</v>
      </c>
      <c r="D89" s="175">
        <f t="shared" si="32"/>
        <v>0</v>
      </c>
      <c r="E89" s="175">
        <f t="shared" si="32"/>
        <v>0</v>
      </c>
      <c r="F89" s="175">
        <f t="shared" si="32"/>
        <v>0</v>
      </c>
      <c r="G89" s="175"/>
      <c r="H89" s="175"/>
      <c r="I89" s="175"/>
      <c r="J89" s="175"/>
    </row>
    <row r="90" spans="2:10" s="78" customFormat="1" hidden="1" x14ac:dyDescent="0.2">
      <c r="B90" s="78">
        <f t="shared" ref="B90:B91" si="33">B89+1</f>
        <v>3</v>
      </c>
      <c r="C90" s="175">
        <f t="shared" si="32"/>
        <v>0</v>
      </c>
      <c r="D90" s="175">
        <f t="shared" si="32"/>
        <v>0</v>
      </c>
      <c r="E90" s="175">
        <f t="shared" si="32"/>
        <v>0</v>
      </c>
      <c r="F90" s="175">
        <f t="shared" si="32"/>
        <v>0</v>
      </c>
      <c r="G90" s="175"/>
      <c r="H90" s="175"/>
      <c r="I90" s="175"/>
      <c r="J90" s="175"/>
    </row>
    <row r="91" spans="2:10" s="78" customFormat="1" hidden="1" x14ac:dyDescent="0.2">
      <c r="B91" s="78">
        <f t="shared" si="33"/>
        <v>4</v>
      </c>
      <c r="C91" s="175">
        <f t="shared" si="32"/>
        <v>0</v>
      </c>
      <c r="D91" s="175">
        <f t="shared" si="32"/>
        <v>0</v>
      </c>
      <c r="E91" s="175">
        <f t="shared" si="32"/>
        <v>0</v>
      </c>
      <c r="F91" s="175">
        <f t="shared" si="32"/>
        <v>0</v>
      </c>
      <c r="G91" s="175"/>
      <c r="H91" s="175"/>
      <c r="I91" s="175"/>
      <c r="J91" s="175"/>
    </row>
    <row r="92" spans="2:10" s="78" customFormat="1" hidden="1" x14ac:dyDescent="0.2"/>
    <row r="93" spans="2:10" s="78" customFormat="1" hidden="1" x14ac:dyDescent="0.2">
      <c r="C93" s="78" t="s">
        <v>91</v>
      </c>
    </row>
    <row r="94" spans="2:10" s="78" customFormat="1" hidden="1" x14ac:dyDescent="0.2">
      <c r="B94" s="78" t="s">
        <v>43</v>
      </c>
      <c r="C94" s="78">
        <v>1</v>
      </c>
      <c r="D94" s="78">
        <f>C94+1</f>
        <v>2</v>
      </c>
      <c r="E94" s="78">
        <f t="shared" ref="E94:F94" si="34">D94+1</f>
        <v>3</v>
      </c>
      <c r="F94" s="78">
        <f t="shared" si="34"/>
        <v>4</v>
      </c>
    </row>
    <row r="95" spans="2:10" s="78" customFormat="1" hidden="1" x14ac:dyDescent="0.2">
      <c r="B95" s="78">
        <v>1</v>
      </c>
      <c r="C95" s="175">
        <f t="shared" ref="C95:F98" si="35">INDEX($D$37:$G$40,C$94,$B95)</f>
        <v>0</v>
      </c>
      <c r="D95" s="175">
        <f t="shared" si="35"/>
        <v>0</v>
      </c>
      <c r="E95" s="175">
        <f t="shared" si="35"/>
        <v>0</v>
      </c>
      <c r="F95" s="175">
        <f t="shared" si="35"/>
        <v>0</v>
      </c>
      <c r="G95" s="175"/>
      <c r="H95" s="175"/>
      <c r="I95" s="175"/>
      <c r="J95" s="175"/>
    </row>
    <row r="96" spans="2:10" s="78" customFormat="1" hidden="1" x14ac:dyDescent="0.2">
      <c r="B96" s="78">
        <f>B95+1</f>
        <v>2</v>
      </c>
      <c r="C96" s="175">
        <f t="shared" si="35"/>
        <v>0</v>
      </c>
      <c r="D96" s="175">
        <f t="shared" si="35"/>
        <v>0</v>
      </c>
      <c r="E96" s="175">
        <f t="shared" si="35"/>
        <v>0</v>
      </c>
      <c r="F96" s="175">
        <f t="shared" si="35"/>
        <v>0</v>
      </c>
      <c r="G96" s="175"/>
      <c r="H96" s="175"/>
      <c r="I96" s="175"/>
      <c r="J96" s="175"/>
    </row>
    <row r="97" spans="2:10" s="78" customFormat="1" hidden="1" x14ac:dyDescent="0.2">
      <c r="B97" s="78">
        <f t="shared" ref="B97:B98" si="36">B96+1</f>
        <v>3</v>
      </c>
      <c r="C97" s="175">
        <f t="shared" si="35"/>
        <v>0</v>
      </c>
      <c r="D97" s="175">
        <f t="shared" si="35"/>
        <v>0</v>
      </c>
      <c r="E97" s="175">
        <f t="shared" si="35"/>
        <v>0</v>
      </c>
      <c r="F97" s="175">
        <f t="shared" si="35"/>
        <v>0</v>
      </c>
      <c r="G97" s="175"/>
      <c r="H97" s="175"/>
      <c r="I97" s="175"/>
      <c r="J97" s="175"/>
    </row>
    <row r="98" spans="2:10" s="78" customFormat="1" hidden="1" x14ac:dyDescent="0.2">
      <c r="B98" s="78">
        <f t="shared" si="36"/>
        <v>4</v>
      </c>
      <c r="C98" s="175">
        <f t="shared" si="35"/>
        <v>0</v>
      </c>
      <c r="D98" s="175">
        <f t="shared" si="35"/>
        <v>0</v>
      </c>
      <c r="E98" s="175">
        <f t="shared" si="35"/>
        <v>0</v>
      </c>
      <c r="F98" s="175">
        <f t="shared" si="35"/>
        <v>0</v>
      </c>
      <c r="G98" s="175"/>
      <c r="H98" s="175"/>
      <c r="I98" s="175"/>
      <c r="J98" s="175"/>
    </row>
    <row r="99" spans="2:10" s="78" customFormat="1" hidden="1" x14ac:dyDescent="0.2"/>
    <row r="100" spans="2:10" s="78" customFormat="1" hidden="1" x14ac:dyDescent="0.2">
      <c r="C100" s="78" t="s">
        <v>91</v>
      </c>
    </row>
    <row r="101" spans="2:10" s="78" customFormat="1" hidden="1" x14ac:dyDescent="0.2">
      <c r="B101" s="78" t="s">
        <v>93</v>
      </c>
      <c r="C101" s="78">
        <v>1</v>
      </c>
      <c r="D101" s="78">
        <f>C101+1</f>
        <v>2</v>
      </c>
      <c r="E101" s="78">
        <f t="shared" ref="E101:F101" si="37">D101+1</f>
        <v>3</v>
      </c>
      <c r="F101" s="78">
        <f t="shared" si="37"/>
        <v>4</v>
      </c>
    </row>
    <row r="102" spans="2:10" s="78" customFormat="1" hidden="1" x14ac:dyDescent="0.2">
      <c r="B102" s="78">
        <v>1</v>
      </c>
      <c r="C102" s="175">
        <f t="shared" ref="C102:F105" si="38">INDEX($H$37:$K$40,C$101,$B102)</f>
        <v>0</v>
      </c>
      <c r="D102" s="175">
        <f t="shared" si="38"/>
        <v>0</v>
      </c>
      <c r="E102" s="175">
        <f t="shared" si="38"/>
        <v>0</v>
      </c>
      <c r="F102" s="175">
        <f t="shared" si="38"/>
        <v>0</v>
      </c>
      <c r="G102" s="175"/>
      <c r="H102" s="175"/>
      <c r="I102" s="175"/>
      <c r="J102" s="175"/>
    </row>
    <row r="103" spans="2:10" s="78" customFormat="1" hidden="1" x14ac:dyDescent="0.2">
      <c r="B103" s="78">
        <f>B102+1</f>
        <v>2</v>
      </c>
      <c r="C103" s="175">
        <f t="shared" si="38"/>
        <v>0</v>
      </c>
      <c r="D103" s="175">
        <f t="shared" si="38"/>
        <v>0</v>
      </c>
      <c r="E103" s="175">
        <f t="shared" si="38"/>
        <v>0</v>
      </c>
      <c r="F103" s="175">
        <f t="shared" si="38"/>
        <v>0</v>
      </c>
      <c r="G103" s="175"/>
      <c r="H103" s="175"/>
      <c r="I103" s="175"/>
      <c r="J103" s="175"/>
    </row>
    <row r="104" spans="2:10" s="78" customFormat="1" hidden="1" x14ac:dyDescent="0.2">
      <c r="B104" s="78">
        <f t="shared" ref="B104:B105" si="39">B103+1</f>
        <v>3</v>
      </c>
      <c r="C104" s="175">
        <f t="shared" si="38"/>
        <v>0</v>
      </c>
      <c r="D104" s="175">
        <f t="shared" si="38"/>
        <v>0</v>
      </c>
      <c r="E104" s="175">
        <f t="shared" si="38"/>
        <v>0</v>
      </c>
      <c r="F104" s="175">
        <f t="shared" si="38"/>
        <v>0</v>
      </c>
      <c r="G104" s="175"/>
      <c r="H104" s="175"/>
      <c r="I104" s="175"/>
      <c r="J104" s="175"/>
    </row>
    <row r="105" spans="2:10" s="78" customFormat="1" hidden="1" x14ac:dyDescent="0.2">
      <c r="B105" s="78">
        <f t="shared" si="39"/>
        <v>4</v>
      </c>
      <c r="C105" s="175">
        <f t="shared" si="38"/>
        <v>0</v>
      </c>
      <c r="D105" s="175">
        <f t="shared" si="38"/>
        <v>0</v>
      </c>
      <c r="E105" s="175">
        <f t="shared" si="38"/>
        <v>0</v>
      </c>
      <c r="F105" s="175">
        <f t="shared" si="38"/>
        <v>0</v>
      </c>
      <c r="G105" s="175"/>
      <c r="H105" s="175"/>
      <c r="I105" s="175"/>
      <c r="J105" s="175"/>
    </row>
    <row r="106" spans="2:10" s="78" customFormat="1" hidden="1" x14ac:dyDescent="0.2"/>
    <row r="107" spans="2:10" s="78" customFormat="1" hidden="1" x14ac:dyDescent="0.2"/>
    <row r="108" spans="2:10" s="78" customFormat="1" hidden="1" x14ac:dyDescent="0.2"/>
    <row r="109" spans="2:10" s="78" customFormat="1" hidden="1" x14ac:dyDescent="0.2"/>
    <row r="110" spans="2:10" s="78" customFormat="1" hidden="1" x14ac:dyDescent="0.2"/>
    <row r="111" spans="2:10" s="78" customFormat="1" hidden="1" x14ac:dyDescent="0.2"/>
    <row r="112" spans="2:10" s="78" customFormat="1" hidden="1" x14ac:dyDescent="0.2"/>
    <row r="113" spans="3:10" s="78" customFormat="1" hidden="1" x14ac:dyDescent="0.2"/>
    <row r="114" spans="3:10" s="78" customFormat="1" hidden="1" x14ac:dyDescent="0.2"/>
    <row r="115" spans="3:10" s="78" customFormat="1" hidden="1" x14ac:dyDescent="0.2"/>
    <row r="116" spans="3:10" s="78" customFormat="1" hidden="1" x14ac:dyDescent="0.2"/>
    <row r="117" spans="3:10" s="78" customFormat="1" hidden="1" x14ac:dyDescent="0.2"/>
    <row r="118" spans="3:10" s="78" customFormat="1" hidden="1" x14ac:dyDescent="0.2"/>
    <row r="119" spans="3:10" s="78" customFormat="1" hidden="1" x14ac:dyDescent="0.2"/>
    <row r="120" spans="3:10" s="78" customFormat="1" hidden="1" x14ac:dyDescent="0.2">
      <c r="C120" s="78" t="s">
        <v>91</v>
      </c>
      <c r="D120" s="78" t="s">
        <v>92</v>
      </c>
      <c r="E120" s="78" t="s">
        <v>55</v>
      </c>
      <c r="F120" s="78" t="s">
        <v>95</v>
      </c>
      <c r="G120" s="78" t="s">
        <v>96</v>
      </c>
      <c r="H120" s="78" t="s">
        <v>97</v>
      </c>
      <c r="I120" s="78" t="s">
        <v>98</v>
      </c>
      <c r="J120" s="78" t="s">
        <v>78</v>
      </c>
    </row>
    <row r="121" spans="3:10" s="78" customFormat="1" hidden="1" x14ac:dyDescent="0.2">
      <c r="C121" s="78" t="s">
        <v>93</v>
      </c>
      <c r="D121" s="78" t="s">
        <v>99</v>
      </c>
      <c r="E121" s="78" t="s">
        <v>56</v>
      </c>
      <c r="F121" s="78" t="s">
        <v>100</v>
      </c>
      <c r="G121" s="78" t="s">
        <v>101</v>
      </c>
      <c r="H121" s="78" t="s">
        <v>102</v>
      </c>
      <c r="I121" s="78" t="s">
        <v>103</v>
      </c>
      <c r="J121" s="78" t="s">
        <v>104</v>
      </c>
    </row>
    <row r="122" spans="3:10" s="78" customFormat="1" hidden="1" x14ac:dyDescent="0.2">
      <c r="C122" s="78" t="s">
        <v>43</v>
      </c>
      <c r="D122" s="78" t="s">
        <v>105</v>
      </c>
      <c r="E122" s="78" t="s">
        <v>57</v>
      </c>
      <c r="F122" s="78" t="s">
        <v>106</v>
      </c>
      <c r="H122" s="78" t="s">
        <v>107</v>
      </c>
    </row>
    <row r="123" spans="3:10" s="78" customFormat="1" hidden="1" x14ac:dyDescent="0.2">
      <c r="C123" s="78" t="s">
        <v>88</v>
      </c>
      <c r="E123" s="78" t="s">
        <v>58</v>
      </c>
      <c r="F123" s="78" t="s">
        <v>108</v>
      </c>
    </row>
    <row r="124" spans="3:10" s="78" customFormat="1" hidden="1" x14ac:dyDescent="0.2">
      <c r="F124" s="78" t="s">
        <v>109</v>
      </c>
    </row>
    <row r="125" spans="3:10" s="78" customFormat="1" hidden="1" x14ac:dyDescent="0.2"/>
    <row r="126" spans="3:10" s="78" customFormat="1" hidden="1" x14ac:dyDescent="0.2"/>
    <row r="127" spans="3:10" s="78" customFormat="1" hidden="1" x14ac:dyDescent="0.2"/>
    <row r="128" spans="3:10" s="78" customFormat="1" hidden="1" x14ac:dyDescent="0.2"/>
    <row r="129" s="78" customFormat="1" hidden="1" x14ac:dyDescent="0.2"/>
    <row r="130" s="78" customFormat="1" hidden="1" x14ac:dyDescent="0.2"/>
    <row r="131" s="78" customFormat="1" hidden="1" x14ac:dyDescent="0.2"/>
    <row r="132" s="78" customFormat="1" hidden="1" x14ac:dyDescent="0.2"/>
    <row r="133" s="78" customFormat="1"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znKQaR+ovHqahSOMmSSuv7ic1ErjR/mfF8qbhc5F27GIiU4IBvOugW6E9oTafQluXsd3BHeY5/0naPglDpqgPg==" saltValue="Bie5lnH5Vw+ToV+wYBBIcA==" spinCount="100000" sheet="1" objects="1" scenarios="1"/>
  <mergeCells count="2">
    <mergeCell ref="A31:G31"/>
    <mergeCell ref="A41:G41"/>
  </mergeCells>
  <conditionalFormatting sqref="A41">
    <cfRule type="expression" dxfId="264" priority="110">
      <formula>$J$5="Yes"</formula>
    </cfRule>
  </conditionalFormatting>
  <conditionalFormatting sqref="A33:K40">
    <cfRule type="expression" dxfId="263" priority="46">
      <formula>$J$5="Yes"</formula>
    </cfRule>
  </conditionalFormatting>
  <conditionalFormatting sqref="A27:P30">
    <cfRule type="expression" dxfId="262" priority="97">
      <formula>$J$5="Yes"</formula>
    </cfRule>
  </conditionalFormatting>
  <conditionalFormatting sqref="B27:C30">
    <cfRule type="expression" dxfId="261" priority="107">
      <formula>$B27=""</formula>
    </cfRule>
  </conditionalFormatting>
  <conditionalFormatting sqref="B8:E8 G16:L16 N16:Q16 A24:P26 A34:K36">
    <cfRule type="expression" dxfId="260" priority="8">
      <formula>OR( Branding = "WinWIN")</formula>
    </cfRule>
    <cfRule type="expression" dxfId="259" priority="3">
      <formula>OR( Branding = "YBR")</formula>
    </cfRule>
    <cfRule type="expression" dxfId="258" priority="4">
      <formula>OR( Branding = "Paramount")</formula>
    </cfRule>
    <cfRule type="expression" dxfId="257" priority="7">
      <formula>OR( Branding = "Thrive")</formula>
    </cfRule>
    <cfRule type="expression" dxfId="256" priority="9">
      <formula>OR( Branding = "AFG")</formula>
    </cfRule>
    <cfRule type="expression" dxfId="255" priority="10">
      <formula>OR( Branding = "CON")</formula>
    </cfRule>
    <cfRule type="expression" dxfId="254" priority="11">
      <formula>OR( Branding = "AFG Align")</formula>
    </cfRule>
    <cfRule type="expression" dxfId="253" priority="12">
      <formula>OR( Branding = "RM")</formula>
    </cfRule>
    <cfRule type="expression" dxfId="252" priority="13">
      <formula>OR( Branding = "Go Beyond")</formula>
    </cfRule>
  </conditionalFormatting>
  <conditionalFormatting sqref="B37:K40">
    <cfRule type="expression" dxfId="251" priority="15">
      <formula>$B37=""</formula>
    </cfRule>
  </conditionalFormatting>
  <conditionalFormatting sqref="C5">
    <cfRule type="expression" dxfId="250" priority="99">
      <formula>AND(OR($B$3&lt;&gt;"",$D$3&lt;&gt;""),$C$5="")</formula>
    </cfRule>
  </conditionalFormatting>
  <conditionalFormatting sqref="D21">
    <cfRule type="containsText" dxfId="249" priority="105" operator="containsText" text="Too many of one entity type">
      <formula>NOT(ISERROR(SEARCH("Too many of one entity type",D21)))</formula>
    </cfRule>
  </conditionalFormatting>
  <conditionalFormatting sqref="D27:D30">
    <cfRule type="expression" dxfId="248" priority="94">
      <formula>B27=""</formula>
    </cfRule>
    <cfRule type="expression" dxfId="247" priority="93">
      <formula>AND(B27="",D27&lt;&gt;"")</formula>
    </cfRule>
  </conditionalFormatting>
  <conditionalFormatting sqref="D37:D40">
    <cfRule type="expression" dxfId="246" priority="45">
      <formula>$E$68=0</formula>
    </cfRule>
  </conditionalFormatting>
  <conditionalFormatting sqref="D37:G40">
    <cfRule type="expression" dxfId="245" priority="32">
      <formula>AND($E$68=0,D37&lt;&gt;"")</formula>
    </cfRule>
  </conditionalFormatting>
  <conditionalFormatting sqref="D37:K40">
    <cfRule type="expression" dxfId="244" priority="14">
      <formula>AND($B37="",D37&lt;&gt;"")</formula>
    </cfRule>
  </conditionalFormatting>
  <conditionalFormatting sqref="E21">
    <cfRule type="expression" dxfId="243" priority="104">
      <formula>$D$21="Too many of one entity type"</formula>
    </cfRule>
  </conditionalFormatting>
  <conditionalFormatting sqref="E27:E30">
    <cfRule type="expression" dxfId="242" priority="96">
      <formula>$D$68=0</formula>
    </cfRule>
    <cfRule type="expression" dxfId="241" priority="95">
      <formula>AND($D$68=0,E27&lt;&gt;"")</formula>
    </cfRule>
  </conditionalFormatting>
  <conditionalFormatting sqref="E27:F30">
    <cfRule type="expression" dxfId="240" priority="90">
      <formula>$B27=""</formula>
    </cfRule>
  </conditionalFormatting>
  <conditionalFormatting sqref="E37:G40">
    <cfRule type="expression" dxfId="239" priority="33">
      <formula>$E$68&lt;=(E$33-1)</formula>
    </cfRule>
  </conditionalFormatting>
  <conditionalFormatting sqref="E27:P30">
    <cfRule type="expression" dxfId="238" priority="47">
      <formula>AND($B27="",E27&lt;&gt;"")</formula>
    </cfRule>
  </conditionalFormatting>
  <conditionalFormatting sqref="F27:F30">
    <cfRule type="expression" dxfId="237" priority="89">
      <formula>AND($D$68=0,F27&lt;&gt;"")</formula>
    </cfRule>
  </conditionalFormatting>
  <conditionalFormatting sqref="F27:G30">
    <cfRule type="expression" dxfId="236" priority="86">
      <formula>$D$68&lt;F$23</formula>
    </cfRule>
  </conditionalFormatting>
  <conditionalFormatting sqref="G27:G30">
    <cfRule type="expression" dxfId="235" priority="85">
      <formula>AND($D$68=0,G27&lt;&gt;"")</formula>
    </cfRule>
  </conditionalFormatting>
  <conditionalFormatting sqref="G17:L20">
    <cfRule type="expression" dxfId="234" priority="1">
      <formula>$J$5="Yes"</formula>
    </cfRule>
  </conditionalFormatting>
  <conditionalFormatting sqref="G27:L30">
    <cfRule type="expression" dxfId="233" priority="48">
      <formula>$B27=""</formula>
    </cfRule>
  </conditionalFormatting>
  <conditionalFormatting sqref="H27:H30">
    <cfRule type="expression" dxfId="232" priority="82">
      <formula>$D$68&lt;H$23</formula>
    </cfRule>
    <cfRule type="expression" dxfId="231" priority="81">
      <formula>AND($D$68&lt;N$23,H27&lt;&gt;"")</formula>
    </cfRule>
  </conditionalFormatting>
  <conditionalFormatting sqref="H6:J6 K8">
    <cfRule type="expression" dxfId="230" priority="111">
      <formula>$H$6&lt;&gt;""</formula>
    </cfRule>
  </conditionalFormatting>
  <conditionalFormatting sqref="H37:K40">
    <cfRule type="expression" dxfId="229" priority="17">
      <formula>$F$68&lt;=(H$33-1)</formula>
    </cfRule>
    <cfRule type="expression" dxfId="228" priority="16">
      <formula>AND($F$68=0,H37&lt;&gt;"")</formula>
    </cfRule>
  </conditionalFormatting>
  <conditionalFormatting sqref="H41:K41">
    <cfRule type="containsText" dxfId="227" priority="100" operator="containsText" text="ALLOCATE">
      <formula>NOT(ISERROR(SEARCH("ALLOCATE",H41)))</formula>
    </cfRule>
    <cfRule type="containsText" dxfId="226" priority="102" operator="containsText" text="ERROR">
      <formula>NOT(ISERROR(SEARCH("ERROR",H41)))</formula>
    </cfRule>
  </conditionalFormatting>
  <conditionalFormatting sqref="H31:P31 G15:K16 N16:Q16 A23:H26 I24:P26 A31">
    <cfRule type="expression" dxfId="225" priority="109">
      <formula>$J$5="Yes"</formula>
    </cfRule>
  </conditionalFormatting>
  <conditionalFormatting sqref="H31:P31">
    <cfRule type="containsText" dxfId="224" priority="101" operator="containsText" text="ALLOCATE">
      <formula>NOT(ISERROR(SEARCH("ALLOCATE",H31)))</formula>
    </cfRule>
    <cfRule type="containsText" dxfId="223" priority="108" operator="containsText" text="ERROR">
      <formula>NOT(ISERROR(SEARCH("ERROR",H31)))</formula>
    </cfRule>
  </conditionalFormatting>
  <conditionalFormatting sqref="I13">
    <cfRule type="expression" dxfId="222" priority="6">
      <formula>NOT(AND($J$3="Quick Doc",$J$7="Private/Resi Stock"))</formula>
    </cfRule>
  </conditionalFormatting>
  <conditionalFormatting sqref="I11:J11">
    <cfRule type="expression" dxfId="221" priority="103">
      <formula>OR($J$7="Commercial",$J$9="Yes")</formula>
    </cfRule>
  </conditionalFormatting>
  <conditionalFormatting sqref="I27:L30">
    <cfRule type="expression" dxfId="220" priority="50">
      <formula>$E$68&lt;I$23</formula>
    </cfRule>
    <cfRule type="expression" dxfId="219" priority="49">
      <formula>AND($E$68&lt;I$23,I27&lt;&gt;"")</formula>
    </cfRule>
  </conditionalFormatting>
  <conditionalFormatting sqref="J13">
    <cfRule type="expression" dxfId="218" priority="5">
      <formula>NOT(AND($J$3="Quick Doc",$J$7="Private/Resi Stock"))</formula>
    </cfRule>
  </conditionalFormatting>
  <conditionalFormatting sqref="L16">
    <cfRule type="expression" dxfId="217" priority="98">
      <formula>$J$5="Yes"</formula>
    </cfRule>
  </conditionalFormatting>
  <conditionalFormatting sqref="M27:P30">
    <cfRule type="expression" dxfId="216" priority="60">
      <formula>$B27=""</formula>
    </cfRule>
    <cfRule type="expression" dxfId="215" priority="59">
      <formula>AND($F$68&lt;M$23,M27&lt;&gt;"")</formula>
    </cfRule>
    <cfRule type="expression" dxfId="214" priority="61">
      <formula>AND($F$68&lt;M$23,M27="")</formula>
    </cfRule>
  </conditionalFormatting>
  <dataValidations count="11">
    <dataValidation type="list" allowBlank="1" showInputMessage="1" showErrorMessage="1" sqref="J3" xr:uid="{F2A080C8-C6F1-4C58-A40C-2897C2637D58}">
      <formula1>$F$120:$F$124</formula1>
    </dataValidation>
    <dataValidation type="list" allowBlank="1" showInputMessage="1" showErrorMessage="1" sqref="J7" xr:uid="{52FFF979-FD92-44A4-86DB-E94B6A065E9C}">
      <formula1>$H$120:$H$122</formula1>
    </dataValidation>
    <dataValidation type="list" allowBlank="1" showInputMessage="1" showErrorMessage="1" sqref="I17:I20" xr:uid="{A3756F54-520F-49B5-B3FD-9F434125862D}">
      <formula1>"0,1,2"</formula1>
    </dataValidation>
    <dataValidation type="list" allowBlank="1" showInputMessage="1" showErrorMessage="1" sqref="J13" xr:uid="{133BFD65-0FDC-4C6E-8780-E98B394BAE12}">
      <formula1>$J$120:$J$121</formula1>
    </dataValidation>
    <dataValidation type="list" allowBlank="1" showInputMessage="1" showErrorMessage="1" sqref="J17:J20" xr:uid="{C34C9E0D-BC59-4EF6-AAFD-A2784A7F251C}">
      <formula1>"0,1,2,3,4,5,6,7,8,9,10,11,12,13,14,15"</formula1>
    </dataValidation>
    <dataValidation type="list" allowBlank="1" showInputMessage="1" showErrorMessage="1" sqref="C5" xr:uid="{65B1A57B-A402-46A4-A8C5-718F1A869E51}">
      <formula1>" 2022, 2023, 2024,2025,2026"</formula1>
    </dataValidation>
    <dataValidation type="list" allowBlank="1" showInputMessage="1" showErrorMessage="1" sqref="J11" xr:uid="{D340739C-CACE-4705-8613-B1AD1543FDD2}">
      <formula1>$I$120:$I$121</formula1>
    </dataValidation>
    <dataValidation type="list" allowBlank="1" showInputMessage="1" showErrorMessage="1" sqref="J5 J9" xr:uid="{B5B66E02-F1F1-433B-ABA4-C97913ABA223}">
      <formula1>$G$120:$G$121</formula1>
    </dataValidation>
    <dataValidation type="list" allowBlank="1" showInputMessage="1" showErrorMessage="1" sqref="D27:D30" xr:uid="{692A4F18-F3D6-4B50-8E9C-C6B8F2C33B95}">
      <formula1>$E$120:$E$123</formula1>
    </dataValidation>
    <dataValidation type="list" allowBlank="1" showInputMessage="1" showErrorMessage="1" sqref="D9:D20" xr:uid="{44AC8197-1D4F-4A76-BD4A-07143A32E475}">
      <formula1>$C$120:$C$123</formula1>
    </dataValidation>
    <dataValidation type="list" allowBlank="1" showInputMessage="1" showErrorMessage="1" sqref="E9:E20" xr:uid="{63FDB343-BF66-4D3E-B784-7AC294B9479F}">
      <formula1>$D$120:$D$122</formula1>
    </dataValidation>
  </dataValidations>
  <pageMargins left="0.7" right="0.7" top="0.75" bottom="0.75" header="0.3" footer="0.3"/>
  <pageSetup scale="49"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DDA40-9237-4872-A0E8-55955910445E}">
  <sheetPr codeName="Sheet3">
    <tabColor theme="1"/>
    <pageSetUpPr fitToPage="1"/>
  </sheetPr>
  <dimension ref="A1:AN2963"/>
  <sheetViews>
    <sheetView showGridLines="0" zoomScale="90" zoomScaleNormal="90" workbookViewId="0">
      <selection activeCell="U20" sqref="U20"/>
    </sheetView>
  </sheetViews>
  <sheetFormatPr defaultColWidth="14.7109375" defaultRowHeight="12.75" x14ac:dyDescent="0.2"/>
  <cols>
    <col min="1" max="1" width="14.5703125" style="3" customWidth="1"/>
    <col min="2" max="2" width="14.140625" style="3" customWidth="1"/>
    <col min="3" max="3" width="16.7109375" style="3" customWidth="1"/>
    <col min="4" max="4" width="13.42578125" style="3" customWidth="1"/>
    <col min="5" max="5" width="15.42578125" style="3" customWidth="1"/>
    <col min="6" max="6" width="14.85546875" style="3" customWidth="1"/>
    <col min="7" max="7" width="13.28515625" style="3" customWidth="1"/>
    <col min="8" max="8" width="15.85546875" style="3" customWidth="1"/>
    <col min="9" max="9" width="15.140625" style="3" customWidth="1"/>
    <col min="10" max="10" width="14.85546875" style="3" customWidth="1"/>
    <col min="11" max="11" width="19" style="3" customWidth="1"/>
    <col min="12" max="12" width="9.5703125" style="3" customWidth="1"/>
    <col min="13" max="13" width="11.5703125" style="3" customWidth="1"/>
    <col min="14" max="14" width="13.140625" style="3" customWidth="1"/>
    <col min="15" max="15" width="11.7109375" style="3" customWidth="1"/>
    <col min="16" max="16" width="12" style="3" customWidth="1"/>
    <col min="17" max="17" width="13.5703125" style="3" customWidth="1"/>
    <col min="18" max="18" width="13.85546875" style="3" customWidth="1"/>
    <col min="19" max="19" width="14.42578125" style="3" customWidth="1"/>
    <col min="20" max="20" width="18.42578125" style="3" customWidth="1"/>
    <col min="21" max="21" width="11.28515625" style="3" customWidth="1"/>
    <col min="22" max="26" width="13.140625" style="3" customWidth="1"/>
    <col min="27" max="28" width="14.7109375" style="3"/>
    <col min="29" max="40" width="14.7109375" style="3" hidden="1" customWidth="1"/>
    <col min="41" max="16384" width="14.7109375" style="3"/>
  </cols>
  <sheetData>
    <row r="1" spans="1:39" ht="15" x14ac:dyDescent="0.2">
      <c r="A1" s="2" t="s">
        <v>110</v>
      </c>
      <c r="B1" s="50"/>
      <c r="D1" s="176" t="s">
        <v>111</v>
      </c>
      <c r="O1" s="42" t="s">
        <v>96</v>
      </c>
      <c r="P1" s="177" t="s">
        <v>111</v>
      </c>
    </row>
    <row r="2" spans="1:39" ht="13.5" thickBot="1" x14ac:dyDescent="0.25">
      <c r="A2" s="2" t="s">
        <v>112</v>
      </c>
      <c r="H2" s="50"/>
      <c r="I2" s="78"/>
      <c r="M2" s="768" t="s">
        <v>113</v>
      </c>
      <c r="N2" s="768"/>
      <c r="O2" s="42" t="s">
        <v>101</v>
      </c>
      <c r="P2" s="42"/>
      <c r="S2" s="178"/>
      <c r="T2" s="178"/>
      <c r="AD2" s="78" t="s">
        <v>114</v>
      </c>
      <c r="AE2" s="3">
        <v>0</v>
      </c>
      <c r="AF2" s="3">
        <v>15</v>
      </c>
      <c r="AG2" s="78" t="s">
        <v>97</v>
      </c>
      <c r="AH2" s="78" t="s">
        <v>115</v>
      </c>
      <c r="AI2" s="78" t="s">
        <v>116</v>
      </c>
      <c r="AJ2" s="78"/>
      <c r="AK2" s="78" t="s">
        <v>117</v>
      </c>
      <c r="AM2" s="78" t="s">
        <v>118</v>
      </c>
    </row>
    <row r="3" spans="1:39" ht="13.5" thickTop="1" x14ac:dyDescent="0.2">
      <c r="A3" s="7" t="s">
        <v>119</v>
      </c>
      <c r="B3" s="8" t="s">
        <v>120</v>
      </c>
      <c r="C3" s="9" t="s">
        <v>121</v>
      </c>
      <c r="D3" s="9" t="s">
        <v>122</v>
      </c>
      <c r="E3" s="52" t="s">
        <v>123</v>
      </c>
      <c r="F3" s="52" t="s">
        <v>124</v>
      </c>
      <c r="G3" s="9" t="s">
        <v>125</v>
      </c>
      <c r="H3" s="9" t="s">
        <v>73</v>
      </c>
      <c r="I3" s="10" t="s">
        <v>126</v>
      </c>
      <c r="J3" s="10" t="s">
        <v>127</v>
      </c>
      <c r="K3" s="10" t="s">
        <v>128</v>
      </c>
      <c r="M3" s="7" t="s">
        <v>129</v>
      </c>
      <c r="N3" s="9" t="s">
        <v>120</v>
      </c>
      <c r="O3" s="9" t="s">
        <v>121</v>
      </c>
      <c r="P3" s="9" t="s">
        <v>130</v>
      </c>
      <c r="Q3" s="9" t="s">
        <v>131</v>
      </c>
      <c r="R3" s="13" t="s">
        <v>73</v>
      </c>
      <c r="S3" s="13" t="s">
        <v>127</v>
      </c>
      <c r="T3" s="10" t="s">
        <v>128</v>
      </c>
      <c r="V3" s="7" t="s">
        <v>18</v>
      </c>
      <c r="W3" s="9"/>
      <c r="X3" s="9"/>
      <c r="Y3" s="9"/>
      <c r="Z3" s="10"/>
      <c r="AD3" s="78" t="s">
        <v>132</v>
      </c>
      <c r="AE3" s="3">
        <v>5</v>
      </c>
      <c r="AF3" s="3">
        <v>30</v>
      </c>
      <c r="AG3" s="78" t="s">
        <v>102</v>
      </c>
      <c r="AH3" s="78" t="s">
        <v>133</v>
      </c>
      <c r="AI3" s="78" t="s">
        <v>134</v>
      </c>
      <c r="AJ3" s="78"/>
      <c r="AK3" s="78" t="s">
        <v>135</v>
      </c>
      <c r="AM3" s="3" t="s">
        <v>136</v>
      </c>
    </row>
    <row r="4" spans="1:39" x14ac:dyDescent="0.2">
      <c r="A4" s="118">
        <v>1</v>
      </c>
      <c r="B4" s="179"/>
      <c r="C4" s="120"/>
      <c r="D4" s="180"/>
      <c r="E4" s="120"/>
      <c r="F4" s="181"/>
      <c r="G4" s="181"/>
      <c r="H4" s="120"/>
      <c r="I4" s="182"/>
      <c r="J4" s="182"/>
      <c r="K4" s="116"/>
      <c r="M4" s="118">
        <v>1</v>
      </c>
      <c r="N4" s="179"/>
      <c r="O4" s="179"/>
      <c r="P4" s="183"/>
      <c r="Q4" s="184"/>
      <c r="R4" s="184"/>
      <c r="S4" s="185"/>
      <c r="T4" s="186"/>
      <c r="V4" s="36"/>
      <c r="W4" s="37"/>
      <c r="X4" s="37"/>
      <c r="Y4" s="37"/>
      <c r="Z4" s="38"/>
      <c r="AG4" s="78" t="s">
        <v>137</v>
      </c>
      <c r="AH4" s="78" t="s">
        <v>135</v>
      </c>
      <c r="AK4" s="78" t="s">
        <v>138</v>
      </c>
      <c r="AM4" s="3" t="s">
        <v>139</v>
      </c>
    </row>
    <row r="5" spans="1:39" x14ac:dyDescent="0.2">
      <c r="A5" s="124">
        <f>A4+1</f>
        <v>2</v>
      </c>
      <c r="B5" s="112"/>
      <c r="C5" s="113"/>
      <c r="D5" s="187"/>
      <c r="E5" s="113"/>
      <c r="F5" s="188"/>
      <c r="G5" s="188"/>
      <c r="H5" s="113"/>
      <c r="I5" s="182"/>
      <c r="J5" s="182"/>
      <c r="K5" s="116"/>
      <c r="M5" s="124">
        <f>M4+1</f>
        <v>2</v>
      </c>
      <c r="N5" s="112"/>
      <c r="O5" s="112"/>
      <c r="P5" s="189"/>
      <c r="Q5" s="190"/>
      <c r="R5" s="190"/>
      <c r="S5" s="191"/>
      <c r="T5" s="186"/>
      <c r="V5" s="36"/>
      <c r="W5" s="37"/>
      <c r="X5" s="37"/>
      <c r="Y5" s="37"/>
      <c r="Z5" s="38"/>
      <c r="AG5" s="78" t="s">
        <v>140</v>
      </c>
      <c r="AH5" s="78" t="s">
        <v>141</v>
      </c>
      <c r="AK5" s="78" t="s">
        <v>142</v>
      </c>
      <c r="AM5" s="3" t="s">
        <v>143</v>
      </c>
    </row>
    <row r="6" spans="1:39" x14ac:dyDescent="0.2">
      <c r="A6" s="124">
        <f t="shared" ref="A6:A7" si="0">A5+1</f>
        <v>3</v>
      </c>
      <c r="B6" s="112"/>
      <c r="C6" s="113"/>
      <c r="D6" s="187"/>
      <c r="E6" s="113"/>
      <c r="F6" s="188"/>
      <c r="G6" s="188"/>
      <c r="H6" s="113"/>
      <c r="I6" s="182"/>
      <c r="J6" s="182"/>
      <c r="K6" s="116"/>
      <c r="M6" s="124">
        <f t="shared" ref="M6:M23" si="1">M5+1</f>
        <v>3</v>
      </c>
      <c r="N6" s="112"/>
      <c r="O6" s="112"/>
      <c r="P6" s="189"/>
      <c r="Q6" s="190"/>
      <c r="R6" s="190"/>
      <c r="S6" s="191"/>
      <c r="T6" s="186"/>
      <c r="V6" s="36"/>
      <c r="W6" s="37"/>
      <c r="X6" s="37"/>
      <c r="Y6" s="37"/>
      <c r="Z6" s="38"/>
      <c r="AG6" s="78" t="s">
        <v>107</v>
      </c>
      <c r="AH6" s="78" t="s">
        <v>144</v>
      </c>
      <c r="AM6" s="3" t="s">
        <v>145</v>
      </c>
    </row>
    <row r="7" spans="1:39" ht="13.5" thickBot="1" x14ac:dyDescent="0.25">
      <c r="A7" s="134">
        <f t="shared" si="0"/>
        <v>4</v>
      </c>
      <c r="B7" s="192"/>
      <c r="C7" s="132"/>
      <c r="D7" s="193"/>
      <c r="E7" s="132"/>
      <c r="F7" s="194"/>
      <c r="G7" s="194"/>
      <c r="H7" s="132"/>
      <c r="I7" s="195"/>
      <c r="J7" s="195"/>
      <c r="K7" s="133"/>
      <c r="M7" s="124">
        <f t="shared" si="1"/>
        <v>4</v>
      </c>
      <c r="N7" s="112"/>
      <c r="O7" s="112"/>
      <c r="P7" s="189"/>
      <c r="Q7" s="190"/>
      <c r="R7" s="190"/>
      <c r="S7" s="191"/>
      <c r="T7" s="186"/>
      <c r="V7" s="36"/>
      <c r="W7" s="37"/>
      <c r="X7" s="37"/>
      <c r="Y7" s="37"/>
      <c r="Z7" s="38"/>
      <c r="AG7" s="78" t="s">
        <v>146</v>
      </c>
      <c r="AH7" s="78" t="s">
        <v>138</v>
      </c>
      <c r="AM7" s="3" t="s">
        <v>147</v>
      </c>
    </row>
    <row r="8" spans="1:39" ht="13.5" thickTop="1" x14ac:dyDescent="0.2">
      <c r="B8" s="83"/>
      <c r="G8" s="108" t="str">
        <f>IF(OR(AND(H5="Private/Resi Stock",G5&gt;3),AND(H4="Private/Resi Stock",G4&gt;3),AND(H6="Private/Resi Stock",G6&gt;3),AND(H7="Private/Resi Stock",G7&gt;3)),"Business loan term max 3 years"," ")</f>
        <v xml:space="preserve"> </v>
      </c>
      <c r="M8" s="124">
        <f t="shared" si="1"/>
        <v>5</v>
      </c>
      <c r="N8" s="112"/>
      <c r="O8" s="112"/>
      <c r="P8" s="189"/>
      <c r="Q8" s="190"/>
      <c r="R8" s="190"/>
      <c r="S8" s="191"/>
      <c r="T8" s="186"/>
      <c r="V8" s="36"/>
      <c r="W8" s="37"/>
      <c r="X8" s="37"/>
      <c r="Y8" s="37"/>
      <c r="Z8" s="38"/>
      <c r="AH8" s="78" t="s">
        <v>148</v>
      </c>
      <c r="AM8" s="3" t="s">
        <v>149</v>
      </c>
    </row>
    <row r="9" spans="1:39" ht="13.5" thickBot="1" x14ac:dyDescent="0.25">
      <c r="A9" s="2" t="s">
        <v>150</v>
      </c>
      <c r="B9" s="83"/>
      <c r="M9" s="124">
        <f t="shared" si="1"/>
        <v>6</v>
      </c>
      <c r="N9" s="112"/>
      <c r="O9" s="112"/>
      <c r="P9" s="189"/>
      <c r="Q9" s="190"/>
      <c r="R9" s="190"/>
      <c r="S9" s="191"/>
      <c r="T9" s="186"/>
      <c r="V9" s="36"/>
      <c r="W9" s="37"/>
      <c r="X9" s="37"/>
      <c r="Y9" s="37"/>
      <c r="Z9" s="38"/>
      <c r="AH9" s="78" t="s">
        <v>142</v>
      </c>
      <c r="AM9" s="3" t="s">
        <v>151</v>
      </c>
    </row>
    <row r="10" spans="1:39" ht="26.25" thickTop="1" x14ac:dyDescent="0.2">
      <c r="A10" s="12" t="s">
        <v>15</v>
      </c>
      <c r="B10" s="196" t="s">
        <v>16</v>
      </c>
      <c r="C10" s="13" t="s">
        <v>17</v>
      </c>
      <c r="D10" s="13" t="s">
        <v>152</v>
      </c>
      <c r="E10" s="13" t="s">
        <v>153</v>
      </c>
      <c r="F10" s="13" t="s">
        <v>154</v>
      </c>
      <c r="G10" s="15" t="s">
        <v>155</v>
      </c>
      <c r="H10" s="89"/>
      <c r="J10" s="176"/>
      <c r="K10" s="197"/>
      <c r="L10" s="198"/>
      <c r="M10" s="124">
        <f t="shared" si="1"/>
        <v>7</v>
      </c>
      <c r="N10" s="112"/>
      <c r="O10" s="112"/>
      <c r="P10" s="189"/>
      <c r="Q10" s="190"/>
      <c r="R10" s="190"/>
      <c r="S10" s="191"/>
      <c r="T10" s="186"/>
      <c r="V10" s="36"/>
      <c r="W10" s="37"/>
      <c r="X10" s="37"/>
      <c r="Y10" s="37"/>
      <c r="Z10" s="38"/>
      <c r="AH10" s="78" t="s">
        <v>156</v>
      </c>
      <c r="AM10" s="3" t="s">
        <v>157</v>
      </c>
    </row>
    <row r="11" spans="1:39" x14ac:dyDescent="0.2">
      <c r="A11" s="147"/>
      <c r="B11" s="199"/>
      <c r="C11" s="200"/>
      <c r="D11" s="200" t="str">
        <f>IF(B4="","",B4)</f>
        <v/>
      </c>
      <c r="E11" s="200" t="str">
        <f>IF(B5="","",B5)</f>
        <v/>
      </c>
      <c r="F11" s="200" t="str">
        <f>IF(B6="","",B6)</f>
        <v/>
      </c>
      <c r="G11" s="201" t="str">
        <f>IF(B7="","",B7)</f>
        <v/>
      </c>
      <c r="I11" s="78"/>
      <c r="J11" s="202"/>
      <c r="K11" s="202"/>
      <c r="L11" s="198"/>
      <c r="M11" s="124">
        <f t="shared" si="1"/>
        <v>8</v>
      </c>
      <c r="N11" s="112"/>
      <c r="O11" s="112"/>
      <c r="P11" s="189"/>
      <c r="Q11" s="190"/>
      <c r="R11" s="190"/>
      <c r="S11" s="191"/>
      <c r="T11" s="186"/>
      <c r="V11" s="36"/>
      <c r="W11" s="37"/>
      <c r="X11" s="37"/>
      <c r="Y11" s="37"/>
      <c r="Z11" s="38"/>
      <c r="AH11" s="78" t="s">
        <v>158</v>
      </c>
      <c r="AM11" s="3" t="s">
        <v>159</v>
      </c>
    </row>
    <row r="12" spans="1:39" x14ac:dyDescent="0.2">
      <c r="A12" s="203" t="str">
        <f>_xlfn.IFNA(INDEX(Applicants!$B$9:$B$20,MATCH(Applicants!B9,Applicants!$C$56:$C$67,0)),"")</f>
        <v/>
      </c>
      <c r="B12" s="204" t="str">
        <f>_xlfn.IFNA(IF(INDEX(Applicants!$C$9:$C$20,MATCH(A12,Applicants!$B$9:$B$20,0))="","",INDEX(Applicants!$C$9:$C$20,MATCH(A12,Applicants!$B$9:$B$20,0))),"")</f>
        <v/>
      </c>
      <c r="C12" s="205" t="str">
        <f>_xlfn.IFNA(IF(INDEX(Applicants!$D$9:$D$20,MATCH(Loans!A12,Applicants!$B$9:$B$20,0))="","",INDEX(Applicants!$D$9:$D$20,MATCH(Loans!A12,Applicants!$B$9:$B$20,0))),"")</f>
        <v/>
      </c>
      <c r="D12" s="206"/>
      <c r="E12" s="206"/>
      <c r="F12" s="206"/>
      <c r="G12" s="207"/>
      <c r="I12" s="78"/>
      <c r="J12" s="208"/>
      <c r="K12" s="208"/>
      <c r="M12" s="124">
        <f t="shared" si="1"/>
        <v>9</v>
      </c>
      <c r="N12" s="112"/>
      <c r="O12" s="112"/>
      <c r="P12" s="189"/>
      <c r="Q12" s="190"/>
      <c r="R12" s="190"/>
      <c r="S12" s="191"/>
      <c r="T12" s="186"/>
      <c r="V12" s="36"/>
      <c r="W12" s="37"/>
      <c r="X12" s="37"/>
      <c r="Y12" s="37"/>
      <c r="Z12" s="38"/>
    </row>
    <row r="13" spans="1:39" x14ac:dyDescent="0.2">
      <c r="A13" s="209" t="str">
        <f>_xlfn.IFNA(INDEX(Applicants!$B$9:$B$20,MATCH(Applicants!B10,Applicants!$C$56:$C$67,0)),"")</f>
        <v/>
      </c>
      <c r="B13" s="204" t="str">
        <f>_xlfn.IFNA(IF(INDEX(Applicants!$C$9:$C$20,MATCH(A13,Applicants!$B$9:$B$20,0))="","",INDEX(Applicants!$C$9:$C$20,MATCH(A13,Applicants!$B$9:$B$20,0))),"")</f>
        <v/>
      </c>
      <c r="C13" s="210" t="str">
        <f>_xlfn.IFNA(IF(INDEX(Applicants!$D$9:$D$20,MATCH(Loans!A13,Applicants!$B$9:$B$20,0))="","",INDEX(Applicants!$D$9:$D$20,MATCH(Loans!A13,Applicants!$B$9:$B$20,0))),"")</f>
        <v/>
      </c>
      <c r="D13" s="206"/>
      <c r="E13" s="206"/>
      <c r="F13" s="206"/>
      <c r="G13" s="211"/>
      <c r="I13" s="78"/>
      <c r="J13" s="79"/>
      <c r="K13" s="212"/>
      <c r="M13" s="124">
        <f t="shared" si="1"/>
        <v>10</v>
      </c>
      <c r="N13" s="112"/>
      <c r="O13" s="112"/>
      <c r="P13" s="189"/>
      <c r="Q13" s="190"/>
      <c r="R13" s="190"/>
      <c r="S13" s="191"/>
      <c r="T13" s="186"/>
      <c r="V13" s="36"/>
      <c r="W13" s="37"/>
      <c r="X13" s="37"/>
      <c r="Y13" s="37"/>
      <c r="Z13" s="38"/>
    </row>
    <row r="14" spans="1:39" x14ac:dyDescent="0.2">
      <c r="A14" s="209" t="str">
        <f>_xlfn.IFNA(INDEX(Applicants!$B$9:$B$20,MATCH(Applicants!B11,Applicants!$C$56:$C$67,0)),"")</f>
        <v/>
      </c>
      <c r="B14" s="204" t="str">
        <f>_xlfn.IFNA(IF(INDEX(Applicants!$C$9:$C$20,MATCH(A14,Applicants!$B$9:$B$20,0))="","",INDEX(Applicants!$C$9:$C$20,MATCH(A14,Applicants!$B$9:$B$20,0))),"")</f>
        <v/>
      </c>
      <c r="C14" s="210" t="str">
        <f>_xlfn.IFNA(IF(INDEX(Applicants!$D$9:$D$20,MATCH(Loans!A14,Applicants!$B$9:$B$20,0))="","",INDEX(Applicants!$D$9:$D$20,MATCH(Loans!A14,Applicants!$B$9:$B$20,0))),"")</f>
        <v/>
      </c>
      <c r="D14" s="206"/>
      <c r="E14" s="206"/>
      <c r="F14" s="206"/>
      <c r="G14" s="211"/>
      <c r="J14" s="198"/>
      <c r="K14" s="213"/>
      <c r="M14" s="124">
        <f t="shared" si="1"/>
        <v>11</v>
      </c>
      <c r="N14" s="112"/>
      <c r="O14" s="112"/>
      <c r="P14" s="189"/>
      <c r="Q14" s="190"/>
      <c r="R14" s="190"/>
      <c r="S14" s="191"/>
      <c r="T14" s="186"/>
      <c r="V14" s="36"/>
      <c r="W14" s="37"/>
      <c r="X14" s="37"/>
      <c r="Y14" s="37"/>
      <c r="Z14" s="38"/>
    </row>
    <row r="15" spans="1:39" x14ac:dyDescent="0.2">
      <c r="A15" s="209" t="str">
        <f>_xlfn.IFNA(INDEX(Applicants!$B$9:$B$20,MATCH(Applicants!B12,Applicants!$C$56:$C$67,0)),"")</f>
        <v/>
      </c>
      <c r="B15" s="204" t="str">
        <f>_xlfn.IFNA(IF(INDEX(Applicants!$C$9:$C$20,MATCH(A15,Applicants!$B$9:$B$20,0))="","",INDEX(Applicants!$C$9:$C$20,MATCH(A15,Applicants!$B$9:$B$20,0))),"")</f>
        <v/>
      </c>
      <c r="C15" s="210" t="str">
        <f>_xlfn.IFNA(IF(INDEX(Applicants!$D$9:$D$20,MATCH(Loans!A15,Applicants!$B$9:$B$20,0))="","",INDEX(Applicants!$D$9:$D$20,MATCH(Loans!A15,Applicants!$B$9:$B$20,0))),"")</f>
        <v/>
      </c>
      <c r="D15" s="206"/>
      <c r="E15" s="206"/>
      <c r="F15" s="206"/>
      <c r="G15" s="211"/>
      <c r="I15" s="78"/>
      <c r="J15" s="79"/>
      <c r="M15" s="124">
        <f t="shared" si="1"/>
        <v>12</v>
      </c>
      <c r="N15" s="112"/>
      <c r="O15" s="112"/>
      <c r="P15" s="189"/>
      <c r="Q15" s="190"/>
      <c r="R15" s="190"/>
      <c r="S15" s="191"/>
      <c r="T15" s="186"/>
      <c r="V15" s="36"/>
      <c r="W15" s="37"/>
      <c r="X15" s="37"/>
      <c r="Y15" s="37"/>
      <c r="Z15" s="38"/>
    </row>
    <row r="16" spans="1:39" x14ac:dyDescent="0.2">
      <c r="A16" s="209" t="str">
        <f>_xlfn.IFNA(INDEX(Applicants!$B$9:$B$20,MATCH(Applicants!B13,Applicants!$C$56:$C$67,0)),"")</f>
        <v/>
      </c>
      <c r="B16" s="204" t="str">
        <f>_xlfn.IFNA(IF(INDEX(Applicants!$C$9:$C$20,MATCH(A16,Applicants!$B$9:$B$20,0))="","",INDEX(Applicants!$C$9:$C$20,MATCH(A16,Applicants!$B$9:$B$20,0))),"")</f>
        <v/>
      </c>
      <c r="C16" s="210" t="str">
        <f>_xlfn.IFNA(IF(INDEX(Applicants!$D$9:$D$20,MATCH(Loans!A16,Applicants!$B$9:$B$20,0))="","",INDEX(Applicants!$D$9:$D$20,MATCH(Loans!A16,Applicants!$B$9:$B$20,0))),"")</f>
        <v/>
      </c>
      <c r="D16" s="206"/>
      <c r="E16" s="206"/>
      <c r="F16" s="206"/>
      <c r="G16" s="211"/>
      <c r="M16" s="124">
        <f t="shared" si="1"/>
        <v>13</v>
      </c>
      <c r="N16" s="112"/>
      <c r="O16" s="112"/>
      <c r="P16" s="189"/>
      <c r="Q16" s="190"/>
      <c r="R16" s="190"/>
      <c r="S16" s="191"/>
      <c r="T16" s="186"/>
      <c r="V16" s="36"/>
      <c r="W16" s="37"/>
      <c r="X16" s="37"/>
      <c r="Y16" s="37"/>
      <c r="Z16" s="38"/>
    </row>
    <row r="17" spans="1:26" x14ac:dyDescent="0.2">
      <c r="A17" s="209" t="str">
        <f>_xlfn.IFNA(INDEX(Applicants!$B$9:$B$20,MATCH(Applicants!B14,Applicants!$C$56:$C$67,0)),"")</f>
        <v/>
      </c>
      <c r="B17" s="204" t="str">
        <f>_xlfn.IFNA(IF(INDEX(Applicants!$C$9:$C$20,MATCH(A17,Applicants!$B$9:$B$20,0))="","",INDEX(Applicants!$C$9:$C$20,MATCH(A17,Applicants!$B$9:$B$20,0))),"")</f>
        <v/>
      </c>
      <c r="C17" s="210" t="str">
        <f>_xlfn.IFNA(IF(INDEX(Applicants!$D$9:$D$20,MATCH(Loans!A17,Applicants!$B$9:$B$20,0))="","",INDEX(Applicants!$D$9:$D$20,MATCH(Loans!A17,Applicants!$B$9:$B$20,0))),"")</f>
        <v/>
      </c>
      <c r="D17" s="206"/>
      <c r="E17" s="206"/>
      <c r="F17" s="206"/>
      <c r="G17" s="211"/>
      <c r="J17" s="214"/>
      <c r="M17" s="124">
        <f t="shared" si="1"/>
        <v>14</v>
      </c>
      <c r="N17" s="112"/>
      <c r="O17" s="112"/>
      <c r="P17" s="189"/>
      <c r="Q17" s="190"/>
      <c r="R17" s="190"/>
      <c r="S17" s="191"/>
      <c r="T17" s="186"/>
      <c r="V17" s="36"/>
      <c r="W17" s="37"/>
      <c r="X17" s="37"/>
      <c r="Y17" s="37"/>
      <c r="Z17" s="38"/>
    </row>
    <row r="18" spans="1:26" x14ac:dyDescent="0.2">
      <c r="A18" s="209" t="str">
        <f>_xlfn.IFNA(INDEX(Applicants!$B$9:$B$20,MATCH(Applicants!B15,Applicants!$C$56:$C$67,0)),"")</f>
        <v/>
      </c>
      <c r="B18" s="204" t="str">
        <f>_xlfn.IFNA(IF(INDEX(Applicants!$C$9:$C$20,MATCH(A18,Applicants!$B$9:$B$20,0))="","",INDEX(Applicants!$C$9:$C$20,MATCH(A18,Applicants!$B$9:$B$20,0))),"")</f>
        <v/>
      </c>
      <c r="C18" s="210" t="str">
        <f>_xlfn.IFNA(IF(INDEX(Applicants!$D$9:$D$20,MATCH(Loans!A18,Applicants!$B$9:$B$20,0))="","",INDEX(Applicants!$D$9:$D$20,MATCH(Loans!A18,Applicants!$B$9:$B$20,0))),"")</f>
        <v/>
      </c>
      <c r="D18" s="206"/>
      <c r="E18" s="206"/>
      <c r="F18" s="206"/>
      <c r="G18" s="211"/>
      <c r="J18" s="198"/>
      <c r="M18" s="124">
        <f t="shared" si="1"/>
        <v>15</v>
      </c>
      <c r="N18" s="112"/>
      <c r="O18" s="112"/>
      <c r="P18" s="189"/>
      <c r="Q18" s="190"/>
      <c r="R18" s="190"/>
      <c r="S18" s="191"/>
      <c r="T18" s="186"/>
      <c r="V18" s="36"/>
      <c r="W18" s="37"/>
      <c r="X18" s="37"/>
      <c r="Y18" s="37"/>
      <c r="Z18" s="38"/>
    </row>
    <row r="19" spans="1:26" x14ac:dyDescent="0.2">
      <c r="A19" s="209" t="str">
        <f>_xlfn.IFNA(INDEX(Applicants!$B$9:$B$20,MATCH(Applicants!B16,Applicants!$C$56:$C$67,0)),"")</f>
        <v/>
      </c>
      <c r="B19" s="215" t="str">
        <f>_xlfn.IFNA(IF(INDEX(Applicants!$C$9:$C$20,MATCH(A19,Applicants!$B$9:$B$20,0))="","",INDEX(Applicants!$C$9:$C$20,MATCH(A19,Applicants!$B$9:$B$20,0))),"")</f>
        <v/>
      </c>
      <c r="C19" s="210" t="str">
        <f>_xlfn.IFNA(IF(INDEX(Applicants!$D$9:$D$20,MATCH(Loans!A19,Applicants!$B$9:$B$20,0))="","",INDEX(Applicants!$D$9:$D$20,MATCH(Loans!A19,Applicants!$B$9:$B$20,0))),"")</f>
        <v/>
      </c>
      <c r="D19" s="206"/>
      <c r="E19" s="206"/>
      <c r="F19" s="206"/>
      <c r="G19" s="211"/>
      <c r="M19" s="124">
        <f t="shared" si="1"/>
        <v>16</v>
      </c>
      <c r="N19" s="112"/>
      <c r="O19" s="112"/>
      <c r="P19" s="189"/>
      <c r="Q19" s="190"/>
      <c r="R19" s="190"/>
      <c r="S19" s="191"/>
      <c r="T19" s="186"/>
      <c r="V19" s="36"/>
      <c r="W19" s="37"/>
      <c r="X19" s="37"/>
      <c r="Y19" s="37"/>
      <c r="Z19" s="38"/>
    </row>
    <row r="20" spans="1:26" x14ac:dyDescent="0.2">
      <c r="A20" s="209" t="str">
        <f>_xlfn.IFNA(INDEX(Applicants!$B$9:$B$20,MATCH(Applicants!B17,Applicants!$C$56:$C$67,0)),"")</f>
        <v/>
      </c>
      <c r="B20" s="215" t="str">
        <f>_xlfn.IFNA(IF(INDEX(Applicants!$C$9:$C$20,MATCH(A20,Applicants!$B$9:$B$20,0))="","",INDEX(Applicants!$C$9:$C$20,MATCH(A20,Applicants!$B$9:$B$20,0))),"")</f>
        <v/>
      </c>
      <c r="C20" s="210" t="str">
        <f>_xlfn.IFNA(IF(INDEX(Applicants!$D$9:$D$20,MATCH(Loans!A20,Applicants!$B$9:$B$20,0))="","",INDEX(Applicants!$D$9:$D$20,MATCH(Loans!A20,Applicants!$B$9:$B$20,0))),"")</f>
        <v/>
      </c>
      <c r="D20" s="206"/>
      <c r="E20" s="206"/>
      <c r="F20" s="206"/>
      <c r="G20" s="211"/>
      <c r="M20" s="124">
        <f t="shared" si="1"/>
        <v>17</v>
      </c>
      <c r="N20" s="112"/>
      <c r="O20" s="112"/>
      <c r="P20" s="189"/>
      <c r="Q20" s="190"/>
      <c r="R20" s="190"/>
      <c r="S20" s="191"/>
      <c r="T20" s="186"/>
      <c r="V20" s="36"/>
      <c r="W20" s="37"/>
      <c r="X20" s="37"/>
      <c r="Y20" s="37"/>
      <c r="Z20" s="38"/>
    </row>
    <row r="21" spans="1:26" x14ac:dyDescent="0.2">
      <c r="A21" s="209" t="str">
        <f>_xlfn.IFNA(INDEX(Applicants!$B$9:$B$20,MATCH(Applicants!B18,Applicants!$C$56:$C$67,0)),"")</f>
        <v/>
      </c>
      <c r="B21" s="215" t="str">
        <f>_xlfn.IFNA(IF(INDEX(Applicants!$C$9:$C$20,MATCH(A21,Applicants!$B$9:$B$20,0))="","",INDEX(Applicants!$C$9:$C$20,MATCH(A21,Applicants!$B$9:$B$20,0))),"")</f>
        <v/>
      </c>
      <c r="C21" s="210" t="str">
        <f>_xlfn.IFNA(IF(INDEX(Applicants!$D$9:$D$20,MATCH(Loans!A21,Applicants!$B$9:$B$20,0))="","",INDEX(Applicants!$D$9:$D$20,MATCH(Loans!A21,Applicants!$B$9:$B$20,0))),"")</f>
        <v/>
      </c>
      <c r="D21" s="206"/>
      <c r="E21" s="206"/>
      <c r="F21" s="206"/>
      <c r="G21" s="211"/>
      <c r="M21" s="124">
        <f t="shared" si="1"/>
        <v>18</v>
      </c>
      <c r="N21" s="112"/>
      <c r="O21" s="112"/>
      <c r="P21" s="189"/>
      <c r="Q21" s="190"/>
      <c r="R21" s="190"/>
      <c r="S21" s="191"/>
      <c r="T21" s="186"/>
      <c r="V21" s="36"/>
      <c r="W21" s="37"/>
      <c r="X21" s="37"/>
      <c r="Y21" s="37"/>
      <c r="Z21" s="38"/>
    </row>
    <row r="22" spans="1:26" x14ac:dyDescent="0.2">
      <c r="A22" s="209" t="str">
        <f>_xlfn.IFNA(INDEX(Applicants!$B$9:$B$20,MATCH(Applicants!B19,Applicants!$C$56:$C$67,0)),"")</f>
        <v/>
      </c>
      <c r="B22" s="215" t="str">
        <f>_xlfn.IFNA(IF(INDEX(Applicants!$C$9:$C$20,MATCH(A22,Applicants!$B$9:$B$20,0))="","",INDEX(Applicants!$C$9:$C$20,MATCH(A22,Applicants!$B$9:$B$20,0))),"")</f>
        <v/>
      </c>
      <c r="C22" s="210" t="str">
        <f>_xlfn.IFNA(IF(INDEX(Applicants!$D$9:$D$20,MATCH(Loans!A22,Applicants!$B$9:$B$20,0))="","",INDEX(Applicants!$D$9:$D$20,MATCH(Loans!A22,Applicants!$B$9:$B$20,0))),"")</f>
        <v/>
      </c>
      <c r="D22" s="206"/>
      <c r="E22" s="206"/>
      <c r="F22" s="206"/>
      <c r="G22" s="211"/>
      <c r="M22" s="124">
        <f t="shared" si="1"/>
        <v>19</v>
      </c>
      <c r="N22" s="112"/>
      <c r="O22" s="112"/>
      <c r="P22" s="189"/>
      <c r="Q22" s="190"/>
      <c r="R22" s="190"/>
      <c r="S22" s="191"/>
      <c r="T22" s="186"/>
      <c r="V22" s="36"/>
      <c r="W22" s="37"/>
      <c r="X22" s="37"/>
      <c r="Y22" s="37"/>
      <c r="Z22" s="38"/>
    </row>
    <row r="23" spans="1:26" ht="13.5" thickBot="1" x14ac:dyDescent="0.25">
      <c r="A23" s="216" t="str">
        <f>_xlfn.IFNA(INDEX(Applicants!$B$9:$B$20,MATCH(Applicants!B20,Applicants!$C$56:$C$67,0)),"")</f>
        <v/>
      </c>
      <c r="B23" s="217" t="str">
        <f>_xlfn.IFNA(IF(INDEX(Applicants!$C$9:$C$20,MATCH(A23,Applicants!$B$9:$B$20,0))="","",INDEX(Applicants!$C$9:$C$20,MATCH(A23,Applicants!$B$9:$B$20,0))),"")</f>
        <v/>
      </c>
      <c r="C23" s="218" t="str">
        <f>_xlfn.IFNA(IF(INDEX(Applicants!$D$9:$D$20,MATCH(Loans!A23,Applicants!$B$9:$B$20,0))="","",INDEX(Applicants!$D$9:$D$20,MATCH(Loans!A23,Applicants!$B$9:$B$20,0))),"")</f>
        <v/>
      </c>
      <c r="D23" s="206"/>
      <c r="E23" s="206"/>
      <c r="F23" s="206"/>
      <c r="G23" s="219"/>
      <c r="M23" s="134">
        <f t="shared" si="1"/>
        <v>20</v>
      </c>
      <c r="N23" s="131"/>
      <c r="O23" s="131"/>
      <c r="P23" s="220"/>
      <c r="Q23" s="221"/>
      <c r="R23" s="221"/>
      <c r="S23" s="222"/>
      <c r="T23" s="223"/>
      <c r="V23" s="39"/>
      <c r="W23" s="40"/>
      <c r="X23" s="40"/>
      <c r="Y23" s="40"/>
      <c r="Z23" s="41"/>
    </row>
    <row r="24" spans="1:26" ht="14.25" thickTop="1" thickBot="1" x14ac:dyDescent="0.25">
      <c r="D24" s="224" t="str">
        <f>IF(SUM(D12:D23)=0,"",SUM(D12:D23))</f>
        <v/>
      </c>
      <c r="E24" s="225" t="str">
        <f t="shared" ref="E24:G24" si="2">IF(SUM(E12:E23)=0,"",SUM(E12:E23))</f>
        <v/>
      </c>
      <c r="F24" s="225" t="str">
        <f t="shared" si="2"/>
        <v/>
      </c>
      <c r="G24" s="226" t="str">
        <f t="shared" si="2"/>
        <v/>
      </c>
      <c r="L24" s="2" t="s">
        <v>160</v>
      </c>
      <c r="R24" s="11"/>
    </row>
    <row r="25" spans="1:26" ht="13.5" thickTop="1" x14ac:dyDescent="0.2">
      <c r="D25" s="227" t="str">
        <f>IF(AND(INDEX($C$4:$C$7,MATCH(RIGHT(D10,1)*1,$A$4:$A$7,0))&gt;0,D24&lt;&gt;1),"Allocate 100%","")</f>
        <v/>
      </c>
      <c r="E25" s="227" t="str">
        <f t="shared" ref="E25:G25" si="3">IF(AND(INDEX($C$4:$C$7,MATCH(RIGHT(E10,1)*1,$A$4:$A$7,0))&gt;0,E24&lt;&gt;1),"Allocate 100%","")</f>
        <v/>
      </c>
      <c r="F25" s="227" t="str">
        <f t="shared" si="3"/>
        <v/>
      </c>
      <c r="G25" s="227" t="str">
        <f t="shared" si="3"/>
        <v/>
      </c>
      <c r="L25" s="81"/>
    </row>
    <row r="26" spans="1:26" ht="13.5" thickBot="1" x14ac:dyDescent="0.25">
      <c r="A26" s="2" t="s">
        <v>161</v>
      </c>
      <c r="D26" s="42">
        <v>1</v>
      </c>
      <c r="E26" s="42">
        <f>D26+1</f>
        <v>2</v>
      </c>
      <c r="F26" s="42">
        <f t="shared" ref="F26:W26" si="4">E26+1</f>
        <v>3</v>
      </c>
      <c r="G26" s="42">
        <f t="shared" si="4"/>
        <v>4</v>
      </c>
      <c r="H26" s="42">
        <f t="shared" si="4"/>
        <v>5</v>
      </c>
      <c r="I26" s="42">
        <f t="shared" si="4"/>
        <v>6</v>
      </c>
      <c r="J26" s="42">
        <f t="shared" si="4"/>
        <v>7</v>
      </c>
      <c r="K26" s="42">
        <f t="shared" si="4"/>
        <v>8</v>
      </c>
      <c r="L26" s="42">
        <f t="shared" si="4"/>
        <v>9</v>
      </c>
      <c r="M26" s="42">
        <f t="shared" si="4"/>
        <v>10</v>
      </c>
      <c r="N26" s="42">
        <f t="shared" si="4"/>
        <v>11</v>
      </c>
      <c r="O26" s="42">
        <f t="shared" si="4"/>
        <v>12</v>
      </c>
      <c r="P26" s="42">
        <f t="shared" si="4"/>
        <v>13</v>
      </c>
      <c r="Q26" s="42">
        <f t="shared" si="4"/>
        <v>14</v>
      </c>
      <c r="R26" s="42">
        <f t="shared" si="4"/>
        <v>15</v>
      </c>
      <c r="S26" s="42">
        <f t="shared" si="4"/>
        <v>16</v>
      </c>
      <c r="T26" s="42">
        <f t="shared" si="4"/>
        <v>17</v>
      </c>
      <c r="U26" s="42">
        <f t="shared" si="4"/>
        <v>18</v>
      </c>
      <c r="V26" s="42">
        <f t="shared" si="4"/>
        <v>19</v>
      </c>
      <c r="W26" s="42">
        <f t="shared" si="4"/>
        <v>20</v>
      </c>
    </row>
    <row r="27" spans="1:26" ht="13.5" thickTop="1" x14ac:dyDescent="0.2">
      <c r="A27" s="12"/>
      <c r="B27" s="13"/>
      <c r="C27" s="13" t="s">
        <v>162</v>
      </c>
      <c r="D27" s="228" t="str">
        <f>"Existing ID "&amp;D26</f>
        <v>Existing ID 1</v>
      </c>
      <c r="E27" s="228" t="str">
        <f t="shared" ref="E27:W27" si="5">"Existing ID "&amp;E26</f>
        <v>Existing ID 2</v>
      </c>
      <c r="F27" s="228" t="str">
        <f t="shared" si="5"/>
        <v>Existing ID 3</v>
      </c>
      <c r="G27" s="228" t="str">
        <f t="shared" si="5"/>
        <v>Existing ID 4</v>
      </c>
      <c r="H27" s="228" t="str">
        <f t="shared" si="5"/>
        <v>Existing ID 5</v>
      </c>
      <c r="I27" s="228" t="str">
        <f t="shared" si="5"/>
        <v>Existing ID 6</v>
      </c>
      <c r="J27" s="228" t="str">
        <f t="shared" si="5"/>
        <v>Existing ID 7</v>
      </c>
      <c r="K27" s="228" t="str">
        <f t="shared" si="5"/>
        <v>Existing ID 8</v>
      </c>
      <c r="L27" s="228" t="str">
        <f t="shared" si="5"/>
        <v>Existing ID 9</v>
      </c>
      <c r="M27" s="228" t="str">
        <f t="shared" si="5"/>
        <v>Existing ID 10</v>
      </c>
      <c r="N27" s="228" t="str">
        <f t="shared" si="5"/>
        <v>Existing ID 11</v>
      </c>
      <c r="O27" s="228" t="str">
        <f t="shared" si="5"/>
        <v>Existing ID 12</v>
      </c>
      <c r="P27" s="228" t="str">
        <f t="shared" si="5"/>
        <v>Existing ID 13</v>
      </c>
      <c r="Q27" s="228" t="str">
        <f t="shared" si="5"/>
        <v>Existing ID 14</v>
      </c>
      <c r="R27" s="228" t="str">
        <f t="shared" si="5"/>
        <v>Existing ID 15</v>
      </c>
      <c r="S27" s="228" t="str">
        <f t="shared" si="5"/>
        <v>Existing ID 16</v>
      </c>
      <c r="T27" s="228" t="str">
        <f t="shared" si="5"/>
        <v>Existing ID 17</v>
      </c>
      <c r="U27" s="228" t="str">
        <f t="shared" si="5"/>
        <v>Existing ID 18</v>
      </c>
      <c r="V27" s="228" t="str">
        <f t="shared" si="5"/>
        <v>Existing ID 19</v>
      </c>
      <c r="W27" s="229" t="str">
        <f t="shared" si="5"/>
        <v>Existing ID 20</v>
      </c>
    </row>
    <row r="28" spans="1:26" x14ac:dyDescent="0.2">
      <c r="A28" s="147" t="s">
        <v>15</v>
      </c>
      <c r="B28" s="200" t="s">
        <v>16</v>
      </c>
      <c r="C28" s="200" t="s">
        <v>17</v>
      </c>
      <c r="D28" s="230" t="str">
        <f t="shared" ref="D28:W28" si="6">IF(INDEX($N$4:$N$23,D26)="","",INDEX($N$4:$N$23,D26))</f>
        <v/>
      </c>
      <c r="E28" s="230" t="str">
        <f t="shared" si="6"/>
        <v/>
      </c>
      <c r="F28" s="230" t="str">
        <f t="shared" si="6"/>
        <v/>
      </c>
      <c r="G28" s="230" t="str">
        <f t="shared" si="6"/>
        <v/>
      </c>
      <c r="H28" s="230" t="str">
        <f t="shared" si="6"/>
        <v/>
      </c>
      <c r="I28" s="230" t="str">
        <f t="shared" si="6"/>
        <v/>
      </c>
      <c r="J28" s="230" t="str">
        <f t="shared" si="6"/>
        <v/>
      </c>
      <c r="K28" s="230" t="str">
        <f t="shared" si="6"/>
        <v/>
      </c>
      <c r="L28" s="230" t="str">
        <f t="shared" si="6"/>
        <v/>
      </c>
      <c r="M28" s="230" t="str">
        <f t="shared" si="6"/>
        <v/>
      </c>
      <c r="N28" s="230" t="str">
        <f t="shared" si="6"/>
        <v/>
      </c>
      <c r="O28" s="230" t="str">
        <f t="shared" si="6"/>
        <v/>
      </c>
      <c r="P28" s="230" t="str">
        <f t="shared" si="6"/>
        <v/>
      </c>
      <c r="Q28" s="230" t="str">
        <f t="shared" si="6"/>
        <v/>
      </c>
      <c r="R28" s="230" t="str">
        <f t="shared" si="6"/>
        <v/>
      </c>
      <c r="S28" s="230" t="str">
        <f t="shared" si="6"/>
        <v/>
      </c>
      <c r="T28" s="230" t="str">
        <f t="shared" si="6"/>
        <v/>
      </c>
      <c r="U28" s="230" t="str">
        <f t="shared" si="6"/>
        <v/>
      </c>
      <c r="V28" s="230" t="str">
        <f t="shared" si="6"/>
        <v/>
      </c>
      <c r="W28" s="231" t="str">
        <f t="shared" si="6"/>
        <v/>
      </c>
    </row>
    <row r="29" spans="1:26" x14ac:dyDescent="0.2">
      <c r="A29" s="232" t="str">
        <f>IF(Applicants!$D9&lt;&gt;"",Applicants!B9,"")</f>
        <v/>
      </c>
      <c r="B29" s="233" t="str">
        <f>IF(Applicants!$D9&lt;&gt;"",Applicants!C9,"")</f>
        <v/>
      </c>
      <c r="C29" s="234" t="str">
        <f>IF(Applicants!$D9&lt;&gt;"",Applicants!D9,"")</f>
        <v/>
      </c>
      <c r="D29" s="235"/>
      <c r="E29" s="235"/>
      <c r="F29" s="235"/>
      <c r="G29" s="235"/>
      <c r="H29" s="235"/>
      <c r="I29" s="235"/>
      <c r="J29" s="235"/>
      <c r="K29" s="235"/>
      <c r="L29" s="235"/>
      <c r="M29" s="235"/>
      <c r="N29" s="235"/>
      <c r="O29" s="235"/>
      <c r="P29" s="235"/>
      <c r="Q29" s="235"/>
      <c r="R29" s="235"/>
      <c r="S29" s="235"/>
      <c r="T29" s="235"/>
      <c r="U29" s="235"/>
      <c r="V29" s="235"/>
      <c r="W29" s="236"/>
    </row>
    <row r="30" spans="1:26" x14ac:dyDescent="0.2">
      <c r="A30" s="33" t="str">
        <f>IF(Applicants!$D10&lt;&gt;"",Applicants!B10,"")</f>
        <v/>
      </c>
      <c r="B30" s="57" t="str">
        <f>IF(Applicants!$D10&lt;&gt;"",Applicants!C10,"")</f>
        <v/>
      </c>
      <c r="C30" s="237" t="str">
        <f>IF(Applicants!$D10&lt;&gt;"",Applicants!D10,"")</f>
        <v/>
      </c>
      <c r="D30" s="235"/>
      <c r="E30" s="235"/>
      <c r="F30" s="235"/>
      <c r="G30" s="235"/>
      <c r="H30" s="235"/>
      <c r="I30" s="235"/>
      <c r="J30" s="235"/>
      <c r="K30" s="235"/>
      <c r="L30" s="235"/>
      <c r="M30" s="235"/>
      <c r="N30" s="235"/>
      <c r="O30" s="235"/>
      <c r="P30" s="235"/>
      <c r="Q30" s="235"/>
      <c r="R30" s="235"/>
      <c r="S30" s="235"/>
      <c r="T30" s="235"/>
      <c r="U30" s="235"/>
      <c r="V30" s="235"/>
      <c r="W30" s="236"/>
    </row>
    <row r="31" spans="1:26" x14ac:dyDescent="0.2">
      <c r="A31" s="33" t="str">
        <f>IF(Applicants!$D11&lt;&gt;"",Applicants!B11,"")</f>
        <v/>
      </c>
      <c r="B31" s="57" t="str">
        <f>IF(Applicants!$D11&lt;&gt;"",Applicants!C11,"")</f>
        <v/>
      </c>
      <c r="C31" s="237" t="str">
        <f>IF(Applicants!$D11&lt;&gt;"",Applicants!D11,"")</f>
        <v/>
      </c>
      <c r="D31" s="235"/>
      <c r="E31" s="235"/>
      <c r="F31" s="235"/>
      <c r="G31" s="235"/>
      <c r="H31" s="235"/>
      <c r="I31" s="235"/>
      <c r="J31" s="235"/>
      <c r="K31" s="235"/>
      <c r="L31" s="235"/>
      <c r="M31" s="235"/>
      <c r="N31" s="235"/>
      <c r="O31" s="235"/>
      <c r="P31" s="235"/>
      <c r="Q31" s="235"/>
      <c r="R31" s="235"/>
      <c r="S31" s="235"/>
      <c r="T31" s="235"/>
      <c r="U31" s="235"/>
      <c r="V31" s="235"/>
      <c r="W31" s="236"/>
    </row>
    <row r="32" spans="1:26" x14ac:dyDescent="0.2">
      <c r="A32" s="33" t="str">
        <f>IF(Applicants!$D12&lt;&gt;"",Applicants!B12,"")</f>
        <v/>
      </c>
      <c r="B32" s="57" t="str">
        <f>IF(Applicants!$D12&lt;&gt;"",Applicants!C12,"")</f>
        <v/>
      </c>
      <c r="C32" s="237" t="str">
        <f>IF(Applicants!$D12&lt;&gt;"",Applicants!D12,"")</f>
        <v/>
      </c>
      <c r="D32" s="235"/>
      <c r="E32" s="235"/>
      <c r="F32" s="235"/>
      <c r="G32" s="235"/>
      <c r="H32" s="235"/>
      <c r="I32" s="235"/>
      <c r="J32" s="235"/>
      <c r="K32" s="235"/>
      <c r="L32" s="235"/>
      <c r="M32" s="235"/>
      <c r="N32" s="235"/>
      <c r="O32" s="235"/>
      <c r="P32" s="235"/>
      <c r="Q32" s="235"/>
      <c r="R32" s="235"/>
      <c r="S32" s="235"/>
      <c r="T32" s="235"/>
      <c r="U32" s="235"/>
      <c r="V32" s="235"/>
      <c r="W32" s="236"/>
    </row>
    <row r="33" spans="1:23" x14ac:dyDescent="0.2">
      <c r="A33" s="33" t="str">
        <f>IF(Applicants!$D13&lt;&gt;"",Applicants!B13,"")</f>
        <v/>
      </c>
      <c r="B33" s="57" t="str">
        <f>IF(Applicants!$D13&lt;&gt;"",Applicants!C13,"")</f>
        <v/>
      </c>
      <c r="C33" s="237" t="str">
        <f>IF(Applicants!$D13&lt;&gt;"",Applicants!D13,"")</f>
        <v/>
      </c>
      <c r="D33" s="235"/>
      <c r="E33" s="235"/>
      <c r="F33" s="235"/>
      <c r="G33" s="235"/>
      <c r="H33" s="235"/>
      <c r="I33" s="235"/>
      <c r="J33" s="235"/>
      <c r="K33" s="235"/>
      <c r="L33" s="235"/>
      <c r="M33" s="235"/>
      <c r="N33" s="235"/>
      <c r="O33" s="235"/>
      <c r="P33" s="235"/>
      <c r="Q33" s="235"/>
      <c r="R33" s="235"/>
      <c r="S33" s="235"/>
      <c r="T33" s="235"/>
      <c r="U33" s="235"/>
      <c r="V33" s="235"/>
      <c r="W33" s="236"/>
    </row>
    <row r="34" spans="1:23" x14ac:dyDescent="0.2">
      <c r="A34" s="33" t="str">
        <f>IF(Applicants!$D14&lt;&gt;"",Applicants!B14,"")</f>
        <v/>
      </c>
      <c r="B34" s="57" t="str">
        <f>IF(Applicants!$D14&lt;&gt;"",Applicants!C14,"")</f>
        <v/>
      </c>
      <c r="C34" s="237" t="str">
        <f>IF(Applicants!$D14&lt;&gt;"",Applicants!D14,"")</f>
        <v/>
      </c>
      <c r="D34" s="235"/>
      <c r="E34" s="235"/>
      <c r="F34" s="235"/>
      <c r="G34" s="235"/>
      <c r="H34" s="235"/>
      <c r="I34" s="235"/>
      <c r="J34" s="235"/>
      <c r="K34" s="235"/>
      <c r="L34" s="235"/>
      <c r="M34" s="235"/>
      <c r="N34" s="235"/>
      <c r="O34" s="235"/>
      <c r="P34" s="235"/>
      <c r="Q34" s="235"/>
      <c r="R34" s="235"/>
      <c r="S34" s="235"/>
      <c r="T34" s="235"/>
      <c r="U34" s="235"/>
      <c r="V34" s="235"/>
      <c r="W34" s="236"/>
    </row>
    <row r="35" spans="1:23" x14ac:dyDescent="0.2">
      <c r="A35" s="33" t="str">
        <f>IF(Applicants!$D15&lt;&gt;"",Applicants!B15,"")</f>
        <v/>
      </c>
      <c r="B35" s="57" t="str">
        <f>IF(Applicants!$D15&lt;&gt;"",Applicants!C15,"")</f>
        <v/>
      </c>
      <c r="C35" s="237" t="str">
        <f>IF(Applicants!$D15&lt;&gt;"",Applicants!D15,"")</f>
        <v/>
      </c>
      <c r="D35" s="235"/>
      <c r="E35" s="235"/>
      <c r="F35" s="235"/>
      <c r="G35" s="235"/>
      <c r="H35" s="235"/>
      <c r="I35" s="235"/>
      <c r="J35" s="235"/>
      <c r="K35" s="235"/>
      <c r="L35" s="235"/>
      <c r="M35" s="235"/>
      <c r="N35" s="235"/>
      <c r="O35" s="235"/>
      <c r="P35" s="235"/>
      <c r="Q35" s="235"/>
      <c r="R35" s="235"/>
      <c r="S35" s="235"/>
      <c r="T35" s="235"/>
      <c r="U35" s="235"/>
      <c r="V35" s="235"/>
      <c r="W35" s="236"/>
    </row>
    <row r="36" spans="1:23" x14ac:dyDescent="0.2">
      <c r="A36" s="33" t="str">
        <f>IF(Applicants!$D16&lt;&gt;"",Applicants!B16,"")</f>
        <v/>
      </c>
      <c r="B36" s="57" t="str">
        <f>IF(Applicants!$D16&lt;&gt;"",Applicants!C16,"")</f>
        <v/>
      </c>
      <c r="C36" s="237" t="str">
        <f>IF(Applicants!$D16&lt;&gt;"",Applicants!D16,"")</f>
        <v/>
      </c>
      <c r="D36" s="235"/>
      <c r="E36" s="235"/>
      <c r="F36" s="235"/>
      <c r="G36" s="235"/>
      <c r="H36" s="235"/>
      <c r="I36" s="235"/>
      <c r="J36" s="235"/>
      <c r="K36" s="235"/>
      <c r="L36" s="235"/>
      <c r="M36" s="235"/>
      <c r="N36" s="235"/>
      <c r="O36" s="235"/>
      <c r="P36" s="235"/>
      <c r="Q36" s="235"/>
      <c r="R36" s="235"/>
      <c r="S36" s="235"/>
      <c r="T36" s="235"/>
      <c r="U36" s="235"/>
      <c r="V36" s="235"/>
      <c r="W36" s="236"/>
    </row>
    <row r="37" spans="1:23" x14ac:dyDescent="0.2">
      <c r="A37" s="33" t="str">
        <f>IF(Applicants!$D17&lt;&gt;"",Applicants!B17,"")</f>
        <v/>
      </c>
      <c r="B37" s="57" t="str">
        <f>IF(Applicants!$D17&lt;&gt;"",Applicants!C17,"")</f>
        <v/>
      </c>
      <c r="C37" s="237" t="str">
        <f>IF(Applicants!$D17&lt;&gt;"",Applicants!D17,"")</f>
        <v/>
      </c>
      <c r="D37" s="235"/>
      <c r="E37" s="235"/>
      <c r="F37" s="235"/>
      <c r="G37" s="235"/>
      <c r="H37" s="235"/>
      <c r="I37" s="235"/>
      <c r="J37" s="235"/>
      <c r="K37" s="235"/>
      <c r="L37" s="235"/>
      <c r="M37" s="235"/>
      <c r="N37" s="235"/>
      <c r="O37" s="235"/>
      <c r="P37" s="235"/>
      <c r="Q37" s="235"/>
      <c r="R37" s="235"/>
      <c r="S37" s="235"/>
      <c r="T37" s="235"/>
      <c r="U37" s="235"/>
      <c r="V37" s="235"/>
      <c r="W37" s="236"/>
    </row>
    <row r="38" spans="1:23" x14ac:dyDescent="0.2">
      <c r="A38" s="33" t="str">
        <f>IF(Applicants!$D18&lt;&gt;"",Applicants!B18,"")</f>
        <v/>
      </c>
      <c r="B38" s="57" t="str">
        <f>IF(Applicants!$D18&lt;&gt;"",Applicants!C18,"")</f>
        <v/>
      </c>
      <c r="C38" s="237" t="str">
        <f>IF(Applicants!$D18&lt;&gt;"",Applicants!D18,"")</f>
        <v/>
      </c>
      <c r="D38" s="235"/>
      <c r="E38" s="235"/>
      <c r="F38" s="235"/>
      <c r="G38" s="235"/>
      <c r="H38" s="235"/>
      <c r="I38" s="235"/>
      <c r="J38" s="235"/>
      <c r="K38" s="235"/>
      <c r="L38" s="235"/>
      <c r="M38" s="235"/>
      <c r="N38" s="235"/>
      <c r="O38" s="235"/>
      <c r="P38" s="235"/>
      <c r="Q38" s="235"/>
      <c r="R38" s="235"/>
      <c r="S38" s="235"/>
      <c r="T38" s="235"/>
      <c r="U38" s="235"/>
      <c r="V38" s="235"/>
      <c r="W38" s="236"/>
    </row>
    <row r="39" spans="1:23" x14ac:dyDescent="0.2">
      <c r="A39" s="33" t="str">
        <f>IF(Applicants!$D19&lt;&gt;"",Applicants!B19,"")</f>
        <v/>
      </c>
      <c r="B39" s="57" t="str">
        <f>IF(Applicants!$D19&lt;&gt;"",Applicants!C19,"")</f>
        <v/>
      </c>
      <c r="C39" s="237" t="str">
        <f>IF(Applicants!$D19&lt;&gt;"",Applicants!D19,"")</f>
        <v/>
      </c>
      <c r="D39" s="235"/>
      <c r="E39" s="235"/>
      <c r="F39" s="235"/>
      <c r="G39" s="235"/>
      <c r="H39" s="235"/>
      <c r="I39" s="235"/>
      <c r="J39" s="235"/>
      <c r="K39" s="235"/>
      <c r="L39" s="235"/>
      <c r="M39" s="235"/>
      <c r="N39" s="235"/>
      <c r="O39" s="235"/>
      <c r="P39" s="235"/>
      <c r="Q39" s="235"/>
      <c r="R39" s="235"/>
      <c r="S39" s="235"/>
      <c r="T39" s="235"/>
      <c r="U39" s="235"/>
      <c r="V39" s="235"/>
      <c r="W39" s="236"/>
    </row>
    <row r="40" spans="1:23" ht="13.5" thickBot="1" x14ac:dyDescent="0.25">
      <c r="A40" s="43" t="str">
        <f>IF(Applicants!$D20&lt;&gt;"",Applicants!B20,"")</f>
        <v/>
      </c>
      <c r="B40" s="68" t="str">
        <f>IF(Applicants!$D20&lt;&gt;"",Applicants!C20,"")</f>
        <v/>
      </c>
      <c r="C40" s="238" t="str">
        <f>IF(Applicants!$D20&lt;&gt;"",Applicants!D20,"")</f>
        <v/>
      </c>
      <c r="D40" s="239"/>
      <c r="E40" s="239"/>
      <c r="F40" s="239"/>
      <c r="G40" s="239"/>
      <c r="H40" s="239"/>
      <c r="I40" s="239"/>
      <c r="J40" s="239"/>
      <c r="K40" s="239"/>
      <c r="L40" s="239"/>
      <c r="M40" s="239"/>
      <c r="N40" s="239"/>
      <c r="O40" s="239"/>
      <c r="P40" s="239"/>
      <c r="Q40" s="239"/>
      <c r="R40" s="239"/>
      <c r="S40" s="239"/>
      <c r="T40" s="239"/>
      <c r="U40" s="239"/>
      <c r="V40" s="239"/>
      <c r="W40" s="240"/>
    </row>
    <row r="41" spans="1:23" ht="14.25" thickTop="1" thickBot="1" x14ac:dyDescent="0.25">
      <c r="B41" s="42"/>
      <c r="C41" s="49"/>
      <c r="D41" s="224" t="str">
        <f>IF(SUM(D29:D40)=0,"",SUM(D29:D40))</f>
        <v/>
      </c>
      <c r="E41" s="225" t="str">
        <f t="shared" ref="E41:W41" si="7">IF(SUM(E29:E40)=0,"",SUM(E29:E40))</f>
        <v/>
      </c>
      <c r="F41" s="225" t="str">
        <f t="shared" si="7"/>
        <v/>
      </c>
      <c r="G41" s="225" t="str">
        <f t="shared" si="7"/>
        <v/>
      </c>
      <c r="H41" s="225" t="str">
        <f t="shared" si="7"/>
        <v/>
      </c>
      <c r="I41" s="225" t="str">
        <f t="shared" si="7"/>
        <v/>
      </c>
      <c r="J41" s="225" t="str">
        <f t="shared" si="7"/>
        <v/>
      </c>
      <c r="K41" s="225" t="str">
        <f t="shared" si="7"/>
        <v/>
      </c>
      <c r="L41" s="225" t="str">
        <f t="shared" si="7"/>
        <v/>
      </c>
      <c r="M41" s="225" t="str">
        <f t="shared" si="7"/>
        <v/>
      </c>
      <c r="N41" s="225" t="str">
        <f t="shared" si="7"/>
        <v/>
      </c>
      <c r="O41" s="225" t="str">
        <f t="shared" si="7"/>
        <v/>
      </c>
      <c r="P41" s="225" t="str">
        <f t="shared" si="7"/>
        <v/>
      </c>
      <c r="Q41" s="225" t="str">
        <f t="shared" si="7"/>
        <v/>
      </c>
      <c r="R41" s="225" t="str">
        <f t="shared" si="7"/>
        <v/>
      </c>
      <c r="S41" s="225" t="str">
        <f t="shared" si="7"/>
        <v/>
      </c>
      <c r="T41" s="225" t="str">
        <f t="shared" si="7"/>
        <v/>
      </c>
      <c r="U41" s="225" t="str">
        <f t="shared" si="7"/>
        <v/>
      </c>
      <c r="V41" s="225" t="str">
        <f t="shared" si="7"/>
        <v/>
      </c>
      <c r="W41" s="226" t="str">
        <f t="shared" si="7"/>
        <v/>
      </c>
    </row>
    <row r="42" spans="1:23" ht="13.5" thickTop="1" x14ac:dyDescent="0.2">
      <c r="A42" s="78"/>
      <c r="B42" s="49"/>
      <c r="C42" s="49"/>
      <c r="D42" s="241" t="str">
        <f t="shared" ref="D42:W42" si="8">IF(AND(INDEX($O$4:$O$23,MATCH(D26,$M$4:$M$23,0))&gt;0,D41&lt;&gt;1),"Check",IF(D41="","",IF(D41=1,"","Error")))</f>
        <v/>
      </c>
      <c r="E42" s="241" t="str">
        <f t="shared" si="8"/>
        <v/>
      </c>
      <c r="F42" s="241" t="str">
        <f t="shared" si="8"/>
        <v/>
      </c>
      <c r="G42" s="241" t="str">
        <f t="shared" si="8"/>
        <v/>
      </c>
      <c r="H42" s="241" t="str">
        <f t="shared" si="8"/>
        <v/>
      </c>
      <c r="I42" s="241" t="str">
        <f t="shared" si="8"/>
        <v/>
      </c>
      <c r="J42" s="241" t="str">
        <f t="shared" si="8"/>
        <v/>
      </c>
      <c r="K42" s="241" t="str">
        <f t="shared" si="8"/>
        <v/>
      </c>
      <c r="L42" s="241" t="str">
        <f t="shared" si="8"/>
        <v/>
      </c>
      <c r="M42" s="241" t="str">
        <f t="shared" si="8"/>
        <v/>
      </c>
      <c r="N42" s="241" t="str">
        <f t="shared" si="8"/>
        <v/>
      </c>
      <c r="O42" s="241" t="str">
        <f t="shared" si="8"/>
        <v/>
      </c>
      <c r="P42" s="241" t="str">
        <f t="shared" si="8"/>
        <v/>
      </c>
      <c r="Q42" s="241" t="str">
        <f t="shared" si="8"/>
        <v/>
      </c>
      <c r="R42" s="241" t="str">
        <f t="shared" si="8"/>
        <v/>
      </c>
      <c r="S42" s="241" t="str">
        <f t="shared" si="8"/>
        <v/>
      </c>
      <c r="T42" s="241" t="str">
        <f t="shared" si="8"/>
        <v/>
      </c>
      <c r="U42" s="241" t="str">
        <f t="shared" si="8"/>
        <v/>
      </c>
      <c r="V42" s="241" t="str">
        <f t="shared" si="8"/>
        <v/>
      </c>
      <c r="W42" s="241" t="str">
        <f t="shared" si="8"/>
        <v/>
      </c>
    </row>
    <row r="43" spans="1:23" x14ac:dyDescent="0.2">
      <c r="A43" s="78"/>
      <c r="B43" s="242"/>
      <c r="C43" s="49"/>
    </row>
    <row r="44" spans="1:23" x14ac:dyDescent="0.2">
      <c r="B44" s="243"/>
      <c r="C44" s="49"/>
      <c r="E44" s="91"/>
    </row>
    <row r="45" spans="1:23" hidden="1" x14ac:dyDescent="0.2">
      <c r="A45" s="3" t="s">
        <v>163</v>
      </c>
      <c r="B45" s="244"/>
      <c r="C45" s="99"/>
      <c r="D45" s="99"/>
      <c r="E45" s="99"/>
    </row>
    <row r="46" spans="1:23" hidden="1" x14ac:dyDescent="0.2">
      <c r="B46" s="245"/>
      <c r="C46" s="245"/>
      <c r="D46" s="245"/>
      <c r="E46" s="245"/>
    </row>
    <row r="47" spans="1:23" hidden="1" x14ac:dyDescent="0.2">
      <c r="A47" s="78"/>
      <c r="B47" s="98"/>
      <c r="C47" s="98"/>
      <c r="D47" s="98"/>
      <c r="E47" s="98"/>
    </row>
    <row r="48" spans="1:23" hidden="1" x14ac:dyDescent="0.2">
      <c r="A48" s="3" t="s">
        <v>164</v>
      </c>
      <c r="B48" s="3">
        <v>1</v>
      </c>
      <c r="C48" s="3">
        <f>B48+1</f>
        <v>2</v>
      </c>
      <c r="D48" s="3">
        <f t="shared" ref="D48:E48" si="9">C48+1</f>
        <v>3</v>
      </c>
      <c r="E48" s="3">
        <f t="shared" si="9"/>
        <v>4</v>
      </c>
    </row>
    <row r="49" spans="1:21" hidden="1" x14ac:dyDescent="0.2">
      <c r="A49" s="3" t="s">
        <v>36</v>
      </c>
      <c r="B49" s="99">
        <f>INDEX($C$4:$C$7,B$48)</f>
        <v>0</v>
      </c>
      <c r="C49" s="99">
        <f>INDEX($C$4:$C$7,C$48)</f>
        <v>0</v>
      </c>
      <c r="D49" s="99">
        <f>INDEX($C$4:$C$7,D$48)</f>
        <v>0</v>
      </c>
      <c r="E49" s="99">
        <f>INDEX($C$4:$C$7,E$48)</f>
        <v>0</v>
      </c>
      <c r="I49" s="246"/>
    </row>
    <row r="50" spans="1:21" hidden="1" x14ac:dyDescent="0.2">
      <c r="A50" s="88" t="s">
        <v>0</v>
      </c>
      <c r="B50" s="93">
        <f xml:space="preserve">    IF(INDEX($H$4:$H$7,B$48)="NCCL",INDEX($C$4:$C$7,B$48)*INDEX(
        $D$4:$D$7,B$48)/12,INDEX($C$4:$C$7,B$48)*INDEX(
        $D$4:$D$7,B$48)*MIN(INDEX($G$4:$G$7,B$48),1)
    )</f>
        <v>0</v>
      </c>
      <c r="C50" s="93">
        <f t="shared" ref="C50:E50" si="10" xml:space="preserve">    IF(INDEX($H$4:$H$7,C$48)="NCCL",INDEX($C$4:$C$7,C$48)*INDEX(
        $D$4:$D$7,C$48)/12,INDEX($C$4:$C$7,C$48)*INDEX(
        $D$4:$D$7,C$48)*MIN(INDEX($G$4:$G$7,C$48),1)
    )</f>
        <v>0</v>
      </c>
      <c r="D50" s="93">
        <f t="shared" si="10"/>
        <v>0</v>
      </c>
      <c r="E50" s="93">
        <f t="shared" si="10"/>
        <v>0</v>
      </c>
      <c r="G50" s="247"/>
      <c r="H50" s="91"/>
      <c r="I50" s="99"/>
      <c r="J50" s="99"/>
      <c r="K50" s="99"/>
      <c r="L50" s="99"/>
    </row>
    <row r="51" spans="1:21" hidden="1" x14ac:dyDescent="0.2">
      <c r="A51" s="4" t="s">
        <v>165</v>
      </c>
      <c r="B51" s="99">
        <f>IF(OR(INDEX($H$4:$H$7,B$48)="GST Loan",INDEX($H$4:$H$7,B$48)="NCCL"),B$50,IF(INDEX($E$4:$E$7,B$48)="P&amp;I",PMT(INDEX($D$4:$D$7,B$48)/12,INDEX($G$4:$G$7,B$48)*12,-INDEX($C$4:$C$7,B$48))*12,INDEX($D$4:$D$7,B$48)*INDEX($C$4:$C$7,B$48)))</f>
        <v>0</v>
      </c>
      <c r="C51" s="99">
        <f t="shared" ref="C51:E51" si="11">IF(OR(INDEX($H$4:$H$7,C$48)="GST Loan",INDEX($H$4:$H$7,C$48)="NCCL"),C$50,IF(INDEX($E$4:$E$7,C$48)="P&amp;I",PMT(INDEX($D$4:$D$7,C$48)/12,INDEX($G$4:$G$7,C$48)*12,-INDEX($C$4:$C$7,C$48))*12,INDEX($D$4:$D$7,C$48)*INDEX($C$4:$C$7,C$48)))</f>
        <v>0</v>
      </c>
      <c r="D51" s="99">
        <f t="shared" si="11"/>
        <v>0</v>
      </c>
      <c r="E51" s="99">
        <f t="shared" si="11"/>
        <v>0</v>
      </c>
      <c r="I51" s="99"/>
      <c r="J51" s="99"/>
      <c r="K51" s="99"/>
      <c r="L51" s="99"/>
    </row>
    <row r="52" spans="1:21" hidden="1" x14ac:dyDescent="0.2">
      <c r="A52" s="3" t="s">
        <v>35</v>
      </c>
      <c r="B52" s="99">
        <f>IF(INDEX($H$4:$H$7,B$48)="SMSF Easy Refi",INDEX($C$4:$C$7,B$48)*MAX(INDEX($D$4:$D$7,B$48)+Assumptions!$E$8,Assumptions!$I$5),IF(INDEX($H$4:$H$7,B$48)="Resi Easy Refi",INDEX($C$4:$C$7,B$48)*MAX(INDEX($D$4:$D$7,B$48)+Assumptions!$E$8,Assumptions!$E$5),IF(INDEX($H$4:$H$7,B$48)="NCCL",INDEX($C$4:$C$7,B$48)*MAX(INDEX($D$4:$D$7,B$48)+Assumptions!$E$7,IF(INDEX($H$4:$H$7,B$48)="Residential",Assumptions!$E$5,Assumptions!$B$5))/12,INDEX($C$4:$C$7,B$48)*MAX(INDEX($D$4:$D$7,B$48)+IF(INDEX($H$4:$H$7,B$48)="Residential",Assumptions!$E$4,Assumptions!$B$4),IF(INDEX($H$4:$H$7,B$48)="Residential",Assumptions!$E$5,Assumptions!$B$5))*MIN(INDEX($G$4:$G$7,B$48),1))))</f>
        <v>0</v>
      </c>
      <c r="C52" s="99">
        <f>IF(INDEX($H$4:$H$7,C$48)="SMSF Easy Refi",INDEX($C$4:$C$7,C$48)*MAX(INDEX($D$4:$D$7,C$48)+Assumptions!$E$8,Assumptions!$I$5),IF(INDEX($H$4:$H$7,C$48)="Resi Easy Refi",INDEX($C$4:$C$7,C$48)*MAX(INDEX($D$4:$D$7,C$48)+Assumptions!$E$8,Assumptions!$E$5),IF(INDEX($H$4:$H$7,C$48)="NCCL",INDEX($C$4:$C$7,C$48)*MAX(INDEX($D$4:$D$7,C$48)+Assumptions!$E$7,IF(INDEX($H$4:$H$7,C$48)="Residential",Assumptions!$E$5,Assumptions!$B$5))/12,INDEX($C$4:$C$7,C$48)*MAX(INDEX($D$4:$D$7,C$48)+IF(INDEX($H$4:$H$7,C$48)="Residential",Assumptions!$E$4,Assumptions!$B$4),IF(INDEX($H$4:$H$7,C$48)="Residential",Assumptions!$E$5,Assumptions!$B$5))*MIN(INDEX($G$4:$G$7,C$48),1))))</f>
        <v>0</v>
      </c>
      <c r="D52" s="99">
        <f>IF(INDEX($H$4:$H$7,D$48)="SMSF Easy Refi",INDEX($C$4:$C$7,D$48)*MAX(INDEX($D$4:$D$7,D$48)+Assumptions!$E$8,Assumptions!$I$5),IF(INDEX($H$4:$H$7,D$48)="Resi Easy Refi",INDEX($C$4:$C$7,D$48)*MAX(INDEX($D$4:$D$7,D$48)+Assumptions!$E$8,Assumptions!$E$5),IF(INDEX($H$4:$H$7,D$48)="NCCL",INDEX($C$4:$C$7,D$48)*MAX(INDEX($D$4:$D$7,D$48)+Assumptions!$E$7,IF(INDEX($H$4:$H$7,D$48)="Residential",Assumptions!$E$5,Assumptions!$B$5))/12,INDEX($C$4:$C$7,D$48)*MAX(INDEX($D$4:$D$7,D$48)+IF(INDEX($H$4:$H$7,D$48)="Residential",Assumptions!$E$4,Assumptions!$B$4),IF(INDEX($H$4:$H$7,D$48)="Residential",Assumptions!$E$5,Assumptions!$B$5))*MIN(INDEX($G$4:$G$7,D$48),1))))</f>
        <v>0</v>
      </c>
      <c r="E52" s="99">
        <f>IF(INDEX($H$4:$H$7,E$48)="SMSF Easy Refi",INDEX($C$4:$C$7,E$48)*MAX(INDEX($D$4:$D$7,E$48)+Assumptions!$E$8,Assumptions!$I$5),IF(INDEX($H$4:$H$7,E$48)="Resi Easy Refi",INDEX($C$4:$C$7,E$48)*MAX(INDEX($D$4:$D$7,E$48)+Assumptions!$E$8,Assumptions!$E$5),IF(INDEX($H$4:$H$7,E$48)="NCCL",INDEX($C$4:$C$7,E$48)*MAX(INDEX($D$4:$D$7,E$48)+Assumptions!$E$7,IF(INDEX($H$4:$H$7,E$48)="Residential",Assumptions!$E$5,Assumptions!$B$5))/12,INDEX($C$4:$C$7,E$48)*MAX(INDEX($D$4:$D$7,E$48)+IF(INDEX($H$4:$H$7,E$48)="Residential",Assumptions!$E$4,Assumptions!$B$4),IF(INDEX($H$4:$H$7,E$48)="Residential",Assumptions!$E$5,Assumptions!$B$5))*MIN(INDEX($G$4:$G$7,E$48),1))))</f>
        <v>0</v>
      </c>
      <c r="G52" s="91"/>
      <c r="H52" s="91"/>
      <c r="I52" s="99"/>
      <c r="J52" s="99"/>
      <c r="K52" s="99"/>
      <c r="L52" s="99"/>
    </row>
    <row r="53" spans="1:21" s="4" customFormat="1" hidden="1" x14ac:dyDescent="0.2">
      <c r="A53" s="3" t="s">
        <v>166</v>
      </c>
      <c r="B53" s="99">
        <f>IF(INDEX($C$4:$C$7,B$48)="",0,IF(Applicants!$J$7="Private/Resi Stock",0,IF(AND($B$111="Y",$B$119="Y"),$B114,IF(AND($B$111="Y",$C$119="Y"),$C114,B$57))))</f>
        <v>0</v>
      </c>
      <c r="C53" s="99">
        <f>IF(INDEX($C$4:$C$7,C$48)="",0,IF(Applicants!$J$7="Private/Resi Stock",0,IF(AND($B$111="Y",$B$119="Y"),$B115,IF(AND($B$111="Y",$C$119="Y"),$C115,C$57))))</f>
        <v>0</v>
      </c>
      <c r="D53" s="99">
        <f>IF(INDEX($C$4:$C$7,D$48)="",0,IF(Applicants!$J$7="Private/Resi Stock",0,IF(AND($B$111="Y",$B$119="Y"),$B116,IF(AND($B$111="Y",$C$119="Y"),$C116,D$57))))</f>
        <v>0</v>
      </c>
      <c r="E53" s="99">
        <f>IF(INDEX($C$4:$C$7,E$48)="",0,IF(Applicants!$J$7="Private/Resi Stock",0,IF(AND($B$111="Y",$B$119="Y"),$B117,IF(AND($B$111="Y",$C$119="Y"),$C117,E$57))))</f>
        <v>0</v>
      </c>
      <c r="I53" s="92"/>
      <c r="J53" s="92"/>
      <c r="K53" s="92"/>
      <c r="L53" s="92"/>
    </row>
    <row r="54" spans="1:21" hidden="1" x14ac:dyDescent="0.2">
      <c r="A54" s="3" t="s">
        <v>167</v>
      </c>
      <c r="B54" s="99" t="str">
        <f>IF(INDEX($C$4:$C$7,B$48)="","",IF(AND(OR(INDEX($H$4:$H$7,B$48)="Residential",INDEX($H$4:$H$7,B$48)="Resi Easy Refi"),INDEX($I$4:$I$7,B$48)="Owner Occupied"),0,1))</f>
        <v/>
      </c>
      <c r="C54" s="99" t="str">
        <f t="shared" ref="C54:E54" si="12">IF(INDEX($C$4:$C$7,C$48)="","",IF(AND(OR(INDEX($H$4:$H$7,C$48)="Residential",INDEX($H$4:$H$7,C$48)="Resi Easy Refi"),INDEX($I$4:$I$7,C$48)="Owner Occupied"),0,1))</f>
        <v/>
      </c>
      <c r="D54" s="99" t="str">
        <f t="shared" si="12"/>
        <v/>
      </c>
      <c r="E54" s="99" t="str">
        <f t="shared" si="12"/>
        <v/>
      </c>
    </row>
    <row r="55" spans="1:21" hidden="1" x14ac:dyDescent="0.2">
      <c r="A55" s="3" t="s">
        <v>168</v>
      </c>
      <c r="B55" s="99" t="str">
        <f>IF(B54="","",1-B54)</f>
        <v/>
      </c>
      <c r="C55" s="99" t="str">
        <f t="shared" ref="C55:E55" si="13">IF(C54="","",1-C54)</f>
        <v/>
      </c>
      <c r="D55" s="99" t="str">
        <f t="shared" si="13"/>
        <v/>
      </c>
      <c r="E55" s="99" t="str">
        <f t="shared" si="13"/>
        <v/>
      </c>
    </row>
    <row r="56" spans="1:21" hidden="1" x14ac:dyDescent="0.2">
      <c r="A56" s="3" t="s">
        <v>169</v>
      </c>
      <c r="B56" s="99">
        <f>IF(INDEX($C$4:$C$7,B$48)="",0,IF(Applicants!$J$7="Private/Resi Stock",0,IF(INDEX($H$4:$H$7,B$48)="NCCL",B52,(IF(INDEX($H$4:$H$7,B$48)="GST Loan",B$52/12,PMT(MAX(INDEX($D$4:$D$7,B$48)+IF(INDEX($H$4:$H$7,B$48)="Residential",Assumptions!$E$6,Assumptions!$B$4),IF(INDEX($H$4:$H$7,B$48)="Residential",Assumptions!$E$5,Assumptions!$B$5))/12,(INDEX($G$4:$G$7,B$48)-INDEX($F$4:$F$7,B$48))*12,-INDEX($C$4:$C$7,B$48))))*12)))</f>
        <v>0</v>
      </c>
      <c r="C56" s="99">
        <f>IF(INDEX($C$4:$C$7,C$48)="",0,IF(Applicants!$J$7="Private/Resi Stock",0,IF(INDEX($H$4:$H$7,C$48)="NCCL",C52,(IF(INDEX($H$4:$H$7,C$48)="GST Loan",C$52/12,PMT(MAX(INDEX($D$4:$D$7,C$48)+IF(INDEX($H$4:$H$7,C$48)="Residential",Assumptions!$E$6,Assumptions!$B$4),IF(INDEX($H$4:$H$7,C$48)="Residential",Assumptions!$E$5,Assumptions!$B$5))/12,(INDEX($G$4:$G$7,C$48)-INDEX($F$4:$F$7,C$48))*12,-INDEX($C$4:$C$7,C$48))))*12)))</f>
        <v>0</v>
      </c>
      <c r="D56" s="99">
        <f>IF(INDEX($C$4:$C$7,D$48)="",0,IF(Applicants!$J$7="Private/Resi Stock",0,IF(INDEX($H$4:$H$7,D$48)="NCCL",D52,(IF(INDEX($H$4:$H$7,D$48)="GST Loan",D$52/12,PMT(MAX(INDEX($D$4:$D$7,D$48)+IF(INDEX($H$4:$H$7,D$48)="Residential",Assumptions!$E$6,Assumptions!$B$4),IF(INDEX($H$4:$H$7,D$48)="Residential",Assumptions!$E$5,Assumptions!$B$5))/12,(INDEX($G$4:$G$7,D$48)-INDEX($F$4:$F$7,D$48))*12,-INDEX($C$4:$C$7,D$48))))*12)))</f>
        <v>0</v>
      </c>
      <c r="E56" s="99">
        <f>IF(INDEX($C$4:$C$7,E$48)="",0,IF(Applicants!$J$7="Private/Resi Stock",0,IF(INDEX($H$4:$H$7,E$48)="NCCL",E52,(IF(INDEX($H$4:$H$7,E$48)="GST Loan",E$52/12,PMT(MAX(INDEX($D$4:$D$7,E$48)+IF(INDEX($H$4:$H$7,E$48)="Residential",Assumptions!$E$6,Assumptions!$B$4),IF(INDEX($H$4:$H$7,E$48)="Residential",Assumptions!$E$5,Assumptions!$B$5))/12,(INDEX($G$4:$G$7,E$48)-INDEX($F$4:$F$7,E$48))*12,-INDEX($C$4:$C$7,E$48))))*12)))</f>
        <v>0</v>
      </c>
    </row>
    <row r="57" spans="1:21" hidden="1" x14ac:dyDescent="0.2">
      <c r="A57" s="78" t="s">
        <v>170</v>
      </c>
      <c r="B57" s="99">
        <f>IF(INDEX($C$4:$C$7,B$48)="",0,IF(Applicants!$J$7="Private/Resi Stock",0,(IF(INDEX($H$4:$H$7,B$48)="SMSF Easy Refi",(PMT(MAX((INDEX($D$4:$D$7,B$48)+Assumptions!$E$8),Assumptions!$I$5)/12,(INDEX($G$4:$G$7,B$48)-INDEX($F$4:$F$7,B$48))*12,-INDEX($C$4:$C$7,B$48))*12),(IF(INDEX($H$4:$H$7,B$48)="Resi Easy Refi",(PMT(MAX((INDEX($D$4:$D$7,B$48)+Assumptions!$E$8),Assumptions!$E$5)/12,(INDEX($G$4:$G$7,B$48)-INDEX($F$4:$F$7,B$48))*12,-INDEX($C$4:$C$7,B$48))*12),IF(INDEX($H$4:$H$7,B$48)="NCCL",B52,(IF(INDEX($H$4:$H$7,B$48)="GST Loan",B52/12,PMT(MAX(INDEX($D$4:$D$7,B$48)+IF(INDEX($H$4:$H$7,B$48)="Residential",Assumptions!$E$4,Assumptions!$B$4),IF(INDEX($H$4:$H$7,B$48)="Residential",Assumptions!$E$5,Assumptions!$B$5))/12,(INDEX($G$4:$G$7,B$48)-INDEX($F$4:$F$7,B$48))*12,-INDEX($C$4:$C$7,B$48))))*12)))))))</f>
        <v>0</v>
      </c>
      <c r="C57" s="99">
        <f>IF(INDEX($C$4:$C$7,C$48)="",0,IF(Applicants!$J$7="Private/Resi Stock",0,(IF(INDEX($H$4:$H$7,C$48)="SMSF Easy Refi",(PMT(MAX((INDEX($D$4:$D$7,C$48)+Assumptions!$E$8),Assumptions!$I$5)/12,(INDEX($G$4:$G$7,C$48)-INDEX($F$4:$F$7,C$48))*12,-INDEX($C$4:$C$7,C$48))*12),(IF(INDEX($H$4:$H$7,C$48)="Resi Easy Refi",(PMT(MAX((INDEX($D$4:$D$7,C$48)+Assumptions!$E$8),Assumptions!$E$5)/12,(INDEX($G$4:$G$7,C$48)-INDEX($F$4:$F$7,C$48))*12,-INDEX($C$4:$C$7,C$48))*12),IF(INDEX($H$4:$H$7,C$48)="NCCL",C52,(IF(INDEX($H$4:$H$7,C$48)="GST Loan",C52/12,PMT(MAX(INDEX($D$4:$D$7,C$48)+IF(INDEX($H$4:$H$7,C$48)="Residential",Assumptions!$E$4,Assumptions!$B$4),IF(INDEX($H$4:$H$7,C$48)="Residential",Assumptions!$E$5,Assumptions!$B$5))/12,(INDEX($G$4:$G$7,C$48)-INDEX($F$4:$F$7,C$48))*12,-INDEX($C$4:$C$7,C$48))))*12)))))))</f>
        <v>0</v>
      </c>
      <c r="D57" s="99">
        <f>IF(INDEX($C$4:$C$7,D$48)="",0,IF(Applicants!$J$7="Private/Resi Stock",0,(IF(INDEX($H$4:$H$7,D$48)="SMSF Easy Refi",(PMT(MAX((INDEX($D$4:$D$7,D$48)+Assumptions!$E$8),Assumptions!$I$5)/12,(INDEX($G$4:$G$7,D$48)-INDEX($F$4:$F$7,D$48))*12,-INDEX($C$4:$C$7,D$48))*12),(IF(INDEX($H$4:$H$7,D$48)="Resi Easy Refi",(PMT(MAX((INDEX($D$4:$D$7,D$48)+Assumptions!$E$8),Assumptions!$E$5)/12,(INDEX($G$4:$G$7,D$48)-INDEX($F$4:$F$7,D$48))*12,-INDEX($C$4:$C$7,D$48))*12),IF(INDEX($H$4:$H$7,D$48)="NCCL",D52,(IF(INDEX($H$4:$H$7,D$48)="GST Loan",D52/12,PMT(MAX(INDEX($D$4:$D$7,D$48)+IF(INDEX($H$4:$H$7,D$48)="Residential",Assumptions!$E$4,Assumptions!$B$4),IF(INDEX($H$4:$H$7,D$48)="Residential",Assumptions!$E$5,Assumptions!$B$5))/12,(INDEX($G$4:$G$7,D$48)-INDEX($F$4:$F$7,D$48))*12,-INDEX($C$4:$C$7,D$48))))*12)))))))</f>
        <v>0</v>
      </c>
      <c r="E57" s="99">
        <f>IF(INDEX($C$4:$C$7,E$48)="",0,IF(Applicants!$J$7="Private/Resi Stock",0,(IF(INDEX($H$4:$H$7,E$48)="SMSF Easy Refi",(PMT(MAX((INDEX($D$4:$D$7,E$48)+Assumptions!$E$8),Assumptions!$I$5)/12,(INDEX($G$4:$G$7,E$48)-INDEX($F$4:$F$7,E$48))*12,-INDEX($C$4:$C$7,E$48))*12),(IF(INDEX($H$4:$H$7,E$48)="Resi Easy Refi",(PMT(MAX((INDEX($D$4:$D$7,E$48)+Assumptions!$E$8),Assumptions!$E$5)/12,(INDEX($G$4:$G$7,E$48)-INDEX($F$4:$F$7,E$48))*12,-INDEX($C$4:$C$7,E$48))*12),IF(INDEX($H$4:$H$7,E$48)="NCCL",E52,(IF(INDEX($H$4:$H$7,E$48)="GST Loan",E52/12,PMT(MAX(INDEX($D$4:$D$7,E$48)+IF(INDEX($H$4:$H$7,E$48)="Residential",Assumptions!$E$4,Assumptions!$B$4),IF(INDEX($H$4:$H$7,E$48)="Residential",Assumptions!$E$5,Assumptions!$B$5))/12,(INDEX($G$4:$G$7,E$48)-INDEX($F$4:$F$7,E$48))*12,-INDEX($C$4:$C$7,E$48))))*12)))))))</f>
        <v>0</v>
      </c>
    </row>
    <row r="58" spans="1:21" hidden="1" x14ac:dyDescent="0.2">
      <c r="A58" s="78" t="s">
        <v>171</v>
      </c>
      <c r="B58" s="99">
        <f>IF(INDEX($I$4:$I$7,B$48)="Investment",INDEX($C$4:$C$7,B$48)*INDEX($D$4:$D$7,B$48),0)</f>
        <v>0</v>
      </c>
      <c r="C58" s="99">
        <f t="shared" ref="C58:E58" si="14">IF(INDEX($I$4:$I$7,C$48)="Investment",INDEX($C$4:$C$7,C$48)*INDEX($D$4:$D$7,C$48),0)</f>
        <v>0</v>
      </c>
      <c r="D58" s="99">
        <f t="shared" si="14"/>
        <v>0</v>
      </c>
      <c r="E58" s="99">
        <f t="shared" si="14"/>
        <v>0</v>
      </c>
    </row>
    <row r="59" spans="1:21" hidden="1" x14ac:dyDescent="0.2">
      <c r="A59" s="78" t="s">
        <v>42</v>
      </c>
      <c r="B59" s="99">
        <f>IF(INDEX($H$4:$H$7,B$48)="GST Loan",INDEX($C$4:$C$7,B$48)*INDEX($D$4:$D$7,B$48)*MIN(INDEX($G$4:$G$7,B$48),1),0)*Assumptions!$E$9</f>
        <v>0</v>
      </c>
      <c r="C59" s="99">
        <f>IF(INDEX($H$4:$H$7,C$48)="GST Loan",INDEX($C$4:$C$7,C$48)*INDEX($D$4:$D$7,C$48)*MIN(INDEX($G$4:$G$7,C$48),1),0)*Assumptions!$E$9</f>
        <v>0</v>
      </c>
      <c r="D59" s="99">
        <f>IF(INDEX($H$4:$H$7,D$48)="GST Loan",INDEX($C$4:$C$7,D$48)*INDEX($D$4:$D$7,D$48)*MIN(INDEX($G$4:$G$7,D$48),1),0)*Assumptions!$E$9</f>
        <v>0</v>
      </c>
      <c r="E59" s="99">
        <f>IF(INDEX($H$4:$H$7,E$48)="GST Loan",INDEX($C$4:$C$7,E$48)*INDEX($D$4:$D$7,E$48)*MIN(INDEX($G$4:$G$7,E$48),1),0)*Assumptions!$E$9</f>
        <v>0</v>
      </c>
    </row>
    <row r="60" spans="1:21" hidden="1" x14ac:dyDescent="0.2">
      <c r="A60" s="248" t="s">
        <v>172</v>
      </c>
      <c r="B60" s="249" cm="1">
        <f t="array" ref="B60">IF(AND(INDEX($H$4:$H$7,B$48)="Residential",INDEX($I$4:$I$7,B$48)="Investment"),SUM(B206:B217),B50)</f>
        <v>0</v>
      </c>
      <c r="C60" s="249" cm="1">
        <f t="array" ref="C60">IF(AND(INDEX($H$4:$H$7,C$48)="Residential",INDEX($I$4:$I$7,C$48)="Investment"),SUM(C206:C217),C50)</f>
        <v>0</v>
      </c>
      <c r="D60" s="249" cm="1">
        <f t="array" ref="D60">IF(AND(INDEX($H$4:$H$7,D$48)="Residential",INDEX($I$4:$I$7,D$48)="Investment"),SUM(D206:D217),D50)</f>
        <v>0</v>
      </c>
      <c r="E60" s="249" cm="1">
        <f t="array" ref="E60">IF(AND(INDEX($H$4:$H$7,E$48)="Residential",INDEX($I$4:$I$7,E$48)="Investment"),SUM(E206:E217),E50)</f>
        <v>0</v>
      </c>
    </row>
    <row r="61" spans="1:21" hidden="1" x14ac:dyDescent="0.2">
      <c r="A61" s="2" t="s">
        <v>173</v>
      </c>
      <c r="B61" s="3">
        <v>1</v>
      </c>
      <c r="C61" s="3">
        <f>B61+1</f>
        <v>2</v>
      </c>
      <c r="D61" s="3">
        <f t="shared" ref="D61:U61" si="15">C61+1</f>
        <v>3</v>
      </c>
      <c r="E61" s="3">
        <f t="shared" si="15"/>
        <v>4</v>
      </c>
      <c r="F61" s="3">
        <f t="shared" si="15"/>
        <v>5</v>
      </c>
      <c r="G61" s="3">
        <f t="shared" si="15"/>
        <v>6</v>
      </c>
      <c r="H61" s="3">
        <f t="shared" si="15"/>
        <v>7</v>
      </c>
      <c r="I61" s="3">
        <f t="shared" si="15"/>
        <v>8</v>
      </c>
      <c r="J61" s="3">
        <f t="shared" si="15"/>
        <v>9</v>
      </c>
      <c r="K61" s="3">
        <f t="shared" si="15"/>
        <v>10</v>
      </c>
      <c r="L61" s="3">
        <f t="shared" si="15"/>
        <v>11</v>
      </c>
      <c r="M61" s="3">
        <f t="shared" si="15"/>
        <v>12</v>
      </c>
      <c r="N61" s="3">
        <f t="shared" si="15"/>
        <v>13</v>
      </c>
      <c r="O61" s="3">
        <f t="shared" si="15"/>
        <v>14</v>
      </c>
      <c r="P61" s="3">
        <f t="shared" si="15"/>
        <v>15</v>
      </c>
      <c r="Q61" s="3">
        <f t="shared" si="15"/>
        <v>16</v>
      </c>
      <c r="R61" s="3">
        <f t="shared" si="15"/>
        <v>17</v>
      </c>
      <c r="S61" s="3">
        <f t="shared" si="15"/>
        <v>18</v>
      </c>
      <c r="T61" s="3">
        <f t="shared" si="15"/>
        <v>19</v>
      </c>
      <c r="U61" s="3">
        <f t="shared" si="15"/>
        <v>20</v>
      </c>
    </row>
    <row r="62" spans="1:21" hidden="1" x14ac:dyDescent="0.2">
      <c r="A62" s="3" t="s">
        <v>36</v>
      </c>
      <c r="B62" s="91">
        <f t="shared" ref="B62:U62" si="16">INDEX($O$4:$O$23,B$61)</f>
        <v>0</v>
      </c>
      <c r="C62" s="91">
        <f t="shared" si="16"/>
        <v>0</v>
      </c>
      <c r="D62" s="91">
        <f t="shared" si="16"/>
        <v>0</v>
      </c>
      <c r="E62" s="91">
        <f t="shared" si="16"/>
        <v>0</v>
      </c>
      <c r="F62" s="91">
        <f t="shared" si="16"/>
        <v>0</v>
      </c>
      <c r="G62" s="91">
        <f t="shared" si="16"/>
        <v>0</v>
      </c>
      <c r="H62" s="91">
        <f t="shared" si="16"/>
        <v>0</v>
      </c>
      <c r="I62" s="91">
        <f t="shared" si="16"/>
        <v>0</v>
      </c>
      <c r="J62" s="91">
        <f t="shared" si="16"/>
        <v>0</v>
      </c>
      <c r="K62" s="91">
        <f t="shared" si="16"/>
        <v>0</v>
      </c>
      <c r="L62" s="91">
        <f t="shared" si="16"/>
        <v>0</v>
      </c>
      <c r="M62" s="91">
        <f t="shared" si="16"/>
        <v>0</v>
      </c>
      <c r="N62" s="91">
        <f t="shared" si="16"/>
        <v>0</v>
      </c>
      <c r="O62" s="91">
        <f t="shared" si="16"/>
        <v>0</v>
      </c>
      <c r="P62" s="91">
        <f t="shared" si="16"/>
        <v>0</v>
      </c>
      <c r="Q62" s="91">
        <f t="shared" si="16"/>
        <v>0</v>
      </c>
      <c r="R62" s="91">
        <f t="shared" si="16"/>
        <v>0</v>
      </c>
      <c r="S62" s="91">
        <f t="shared" si="16"/>
        <v>0</v>
      </c>
      <c r="T62" s="91">
        <f t="shared" si="16"/>
        <v>0</v>
      </c>
      <c r="U62" s="91">
        <f t="shared" si="16"/>
        <v>0</v>
      </c>
    </row>
    <row r="63" spans="1:21" hidden="1" x14ac:dyDescent="0.2">
      <c r="A63" s="88" t="s">
        <v>0</v>
      </c>
      <c r="B63" s="93">
        <f>INDEX($O$4:$O$23,B$61)*IF(OR(INDEX(
    $R$4:$R$23,B$61)=$A$75,INDEX($R$4:$R$23,B$61)=$A$76),MAX(Assumptions!$B$7,INDEX($P$4:$P$23,B$61)),INDEX($P$4:$P$23,B$61))</f>
        <v>0</v>
      </c>
      <c r="C63" s="93">
        <f>INDEX($O$4:$O$23,C$61)*IF(OR(INDEX(
    $R$4:$R$23,C$61)=$A$75,INDEX($R$4:$R$23,C$61)=$A$76),MAX(Assumptions!$B$7,INDEX($P$4:$P$23,C$61)),INDEX($P$4:$P$23,C$61))</f>
        <v>0</v>
      </c>
      <c r="D63" s="93">
        <f>INDEX($O$4:$O$23,D$61)*IF(OR(INDEX(
    $R$4:$R$23,D$61)=$A$75,INDEX($R$4:$R$23,D$61)=$A$76),MAX(Assumptions!$B$7,INDEX($P$4:$P$23,D$61)),INDEX($P$4:$P$23,D$61))</f>
        <v>0</v>
      </c>
      <c r="E63" s="93">
        <f>INDEX($O$4:$O$23,E$61)*IF(OR(INDEX(
    $R$4:$R$23,E$61)=$A$75,INDEX($R$4:$R$23,E$61)=$A$76),MAX(Assumptions!$B$7,INDEX($P$4:$P$23,E$61)),INDEX($P$4:$P$23,E$61))</f>
        <v>0</v>
      </c>
      <c r="F63" s="93">
        <f>INDEX($O$4:$O$23,F$61)*IF(OR(INDEX(
    $R$4:$R$23,F$61)=$A$75,INDEX($R$4:$R$23,F$61)=$A$76),MAX(Assumptions!$B$7,INDEX($P$4:$P$23,F$61)),INDEX($P$4:$P$23,F$61))</f>
        <v>0</v>
      </c>
      <c r="G63" s="93">
        <f>INDEX($O$4:$O$23,G$61)*IF(OR(INDEX(
    $R$4:$R$23,G$61)=$A$75,INDEX($R$4:$R$23,G$61)=$A$76),MAX(Assumptions!$B$7,INDEX($P$4:$P$23,G$61)),INDEX($P$4:$P$23,G$61))</f>
        <v>0</v>
      </c>
      <c r="H63" s="93">
        <f>INDEX($O$4:$O$23,H$61)*IF(OR(INDEX(
    $R$4:$R$23,H$61)=$A$75,INDEX($R$4:$R$23,H$61)=$A$76),MAX(Assumptions!$B$7,INDEX($P$4:$P$23,H$61)),INDEX($P$4:$P$23,H$61))</f>
        <v>0</v>
      </c>
      <c r="I63" s="93">
        <f>INDEX($O$4:$O$23,I$61)*IF(OR(INDEX(
    $R$4:$R$23,I$61)=$A$75,INDEX($R$4:$R$23,I$61)=$A$76),MAX(Assumptions!$B$7,INDEX($P$4:$P$23,I$61)),INDEX($P$4:$P$23,I$61))</f>
        <v>0</v>
      </c>
      <c r="J63" s="93">
        <f>INDEX($O$4:$O$23,J$61)*IF(OR(INDEX(
    $R$4:$R$23,J$61)=$A$75,INDEX($R$4:$R$23,J$61)=$A$76),MAX(Assumptions!$B$7,INDEX($P$4:$P$23,J$61)),INDEX($P$4:$P$23,J$61))</f>
        <v>0</v>
      </c>
      <c r="K63" s="93">
        <f>INDEX($O$4:$O$23,K$61)*IF(OR(INDEX(
    $R$4:$R$23,K$61)=$A$75,INDEX($R$4:$R$23,K$61)=$A$76),MAX(Assumptions!$B$7,INDEX($P$4:$P$23,K$61)),INDEX($P$4:$P$23,K$61))</f>
        <v>0</v>
      </c>
      <c r="L63" s="93">
        <f>INDEX($O$4:$O$23,L$61)*IF(OR(INDEX(
    $R$4:$R$23,L$61)=$A$75,INDEX($R$4:$R$23,L$61)=$A$76),MAX(Assumptions!$B$7,INDEX($P$4:$P$23,L$61)),INDEX($P$4:$P$23,L$61))</f>
        <v>0</v>
      </c>
      <c r="M63" s="93">
        <f>INDEX($O$4:$O$23,M$61)*IF(OR(INDEX(
    $R$4:$R$23,M$61)=$A$75,INDEX($R$4:$R$23,M$61)=$A$76),MAX(Assumptions!$B$7,INDEX($P$4:$P$23,M$61)),INDEX($P$4:$P$23,M$61))</f>
        <v>0</v>
      </c>
      <c r="N63" s="93">
        <f>INDEX($O$4:$O$23,N$61)*IF(OR(INDEX(
    $R$4:$R$23,N$61)=$A$75,INDEX($R$4:$R$23,N$61)=$A$76),MAX(Assumptions!$B$7,INDEX($P$4:$P$23,N$61)),INDEX($P$4:$P$23,N$61))</f>
        <v>0</v>
      </c>
      <c r="O63" s="93">
        <f>INDEX($O$4:$O$23,O$61)*IF(OR(INDEX(
    $R$4:$R$23,O$61)=$A$75,INDEX($R$4:$R$23,O$61)=$A$76),MAX(Assumptions!$B$7,INDEX($P$4:$P$23,O$61)),INDEX($P$4:$P$23,O$61))</f>
        <v>0</v>
      </c>
      <c r="P63" s="93">
        <f>INDEX($O$4:$O$23,P$61)*IF(OR(INDEX(
    $R$4:$R$23,P$61)=$A$75,INDEX($R$4:$R$23,P$61)=$A$76),MAX(Assumptions!$B$7,INDEX($P$4:$P$23,P$61)),INDEX($P$4:$P$23,P$61))</f>
        <v>0</v>
      </c>
      <c r="Q63" s="93">
        <f>INDEX($O$4:$O$23,Q$61)*IF(OR(INDEX(
    $R$4:$R$23,Q$61)=$A$75,INDEX($R$4:$R$23,Q$61)=$A$76),MAX(Assumptions!$B$7,INDEX($P$4:$P$23,Q$61)),INDEX($P$4:$P$23,Q$61))</f>
        <v>0</v>
      </c>
      <c r="R63" s="93">
        <f>INDEX($O$4:$O$23,R$61)*IF(OR(INDEX(
    $R$4:$R$23,R$61)=$A$75,INDEX($R$4:$R$23,R$61)=$A$76),MAX(Assumptions!$B$7,INDEX($P$4:$P$23,R$61)),INDEX($P$4:$P$23,R$61))</f>
        <v>0</v>
      </c>
      <c r="S63" s="93">
        <f>INDEX($O$4:$O$23,S$61)*IF(OR(INDEX(
    $R$4:$R$23,S$61)=$A$75,INDEX($R$4:$R$23,S$61)=$A$76),MAX(Assumptions!$B$7,INDEX($P$4:$P$23,S$61)),INDEX($P$4:$P$23,S$61))</f>
        <v>0</v>
      </c>
      <c r="T63" s="93">
        <f>INDEX($O$4:$O$23,T$61)*IF(OR(INDEX(
    $R$4:$R$23,T$61)=$A$75,INDEX($R$4:$R$23,T$61)=$A$76),MAX(Assumptions!$B$7,INDEX($P$4:$P$23,T$61)),INDEX($P$4:$P$23,T$61))</f>
        <v>0</v>
      </c>
      <c r="U63" s="93">
        <f>INDEX($O$4:$O$23,U$61)*IF(OR(INDEX(
    $R$4:$R$23,U$61)=$A$75,INDEX($R$4:$R$23,U$61)=$A$76),MAX(Assumptions!$B$7,INDEX($P$4:$P$23,U$61)),INDEX($P$4:$P$23,U$61))</f>
        <v>0</v>
      </c>
    </row>
    <row r="64" spans="1:21" hidden="1" x14ac:dyDescent="0.2">
      <c r="A64" s="3" t="s">
        <v>165</v>
      </c>
      <c r="B64" s="99">
        <f t="shared" ref="B64:U64" si="17">_xlfn.IFNA(INDEX(B69:B78,MATCH(INDEX($R$4:$R$23,B$61),$A$69:$A$78,0)),0)</f>
        <v>0</v>
      </c>
      <c r="C64" s="99">
        <f t="shared" si="17"/>
        <v>0</v>
      </c>
      <c r="D64" s="99">
        <f t="shared" si="17"/>
        <v>0</v>
      </c>
      <c r="E64" s="99">
        <f t="shared" si="17"/>
        <v>0</v>
      </c>
      <c r="F64" s="99">
        <f t="shared" si="17"/>
        <v>0</v>
      </c>
      <c r="G64" s="99">
        <f t="shared" si="17"/>
        <v>0</v>
      </c>
      <c r="H64" s="99">
        <f t="shared" si="17"/>
        <v>0</v>
      </c>
      <c r="I64" s="99">
        <f t="shared" si="17"/>
        <v>0</v>
      </c>
      <c r="J64" s="99">
        <f t="shared" si="17"/>
        <v>0</v>
      </c>
      <c r="K64" s="99">
        <f t="shared" si="17"/>
        <v>0</v>
      </c>
      <c r="L64" s="99">
        <f t="shared" si="17"/>
        <v>0</v>
      </c>
      <c r="M64" s="99">
        <f t="shared" si="17"/>
        <v>0</v>
      </c>
      <c r="N64" s="99">
        <f t="shared" si="17"/>
        <v>0</v>
      </c>
      <c r="O64" s="99">
        <f t="shared" si="17"/>
        <v>0</v>
      </c>
      <c r="P64" s="99">
        <f t="shared" si="17"/>
        <v>0</v>
      </c>
      <c r="Q64" s="99">
        <f t="shared" si="17"/>
        <v>0</v>
      </c>
      <c r="R64" s="99">
        <f t="shared" si="17"/>
        <v>0</v>
      </c>
      <c r="S64" s="99">
        <f t="shared" si="17"/>
        <v>0</v>
      </c>
      <c r="T64" s="99">
        <f t="shared" si="17"/>
        <v>0</v>
      </c>
      <c r="U64" s="99">
        <f t="shared" si="17"/>
        <v>0</v>
      </c>
    </row>
    <row r="65" spans="1:21" hidden="1" x14ac:dyDescent="0.2">
      <c r="A65" s="3" t="s">
        <v>35</v>
      </c>
      <c r="B65" s="99">
        <f>INDEX($O$4:$O$23,B$61)*IF(OR(INDEX($R$4:$R$23,B$61)=$A$75,INDEX($R$4:$R$23,B$61)=$A$76),MAX(Assumptions!$B$7+Assumptions!$B$4,INDEX($P$4:$P$23,B$61)+Assumptions!$B$4,Assumptions!$B$5),INDEX($P$4:$P$23,B$61)+IF(OR(INDEX($R$4:$R$23,B$61)="Lease/HP",INDEX($R$4:$R$23,B$61)="Lease/HP (deductible)",INDEX($R$4:$R$23,B$61)="Personal Loan (fixed)"),0,IF(INDEX($R$4:$R$23,B$61)="Commercial Loan",Assumptions!$B$4,Assumptions!$E$4)))</f>
        <v>0</v>
      </c>
      <c r="C65" s="99">
        <f>INDEX($O$4:$O$23,C$61)*IF(OR(INDEX($R$4:$R$23,C$61)=$A$75,INDEX($R$4:$R$23,C$61)=$A$76),MAX(Assumptions!$B$7+Assumptions!$B$4,INDEX($P$4:$P$23,C$61)+Assumptions!$B$4,Assumptions!$B$5),INDEX($P$4:$P$23,C$61)+IF(OR(INDEX($R$4:$R$23,C$61)="Lease/HP",INDEX($R$4:$R$23,C$61)="Lease/HP (deductible)",INDEX($R$4:$R$23,C$61)="Personal Loan (fixed)"),0,IF(INDEX($R$4:$R$23,C$61)="Commercial Loan",Assumptions!$B$4,Assumptions!$E$4)))</f>
        <v>0</v>
      </c>
      <c r="D65" s="99">
        <f>INDEX($O$4:$O$23,D$61)*IF(OR(INDEX($R$4:$R$23,D$61)=$A$75,INDEX($R$4:$R$23,D$61)=$A$76),MAX(Assumptions!$B$7+Assumptions!$B$4,INDEX($P$4:$P$23,D$61)+Assumptions!$B$4,Assumptions!$B$5),INDEX($P$4:$P$23,D$61)+IF(OR(INDEX($R$4:$R$23,D$61)="Lease/HP",INDEX($R$4:$R$23,D$61)="Lease/HP (deductible)",INDEX($R$4:$R$23,D$61)="Personal Loan (fixed)"),0,IF(INDEX($R$4:$R$23,D$61)="Commercial Loan",Assumptions!$B$4,Assumptions!$E$4)))</f>
        <v>0</v>
      </c>
      <c r="E65" s="99">
        <f>INDEX($O$4:$O$23,E$61)*IF(OR(INDEX($R$4:$R$23,E$61)=$A$75,INDEX($R$4:$R$23,E$61)=$A$76),MAX(Assumptions!$B$7+Assumptions!$B$4,INDEX($P$4:$P$23,E$61)+Assumptions!$B$4,Assumptions!$B$5),INDEX($P$4:$P$23,E$61)+IF(OR(INDEX($R$4:$R$23,E$61)="Lease/HP",INDEX($R$4:$R$23,E$61)="Lease/HP (deductible)",INDEX($R$4:$R$23,E$61)="Personal Loan (fixed)"),0,IF(INDEX($R$4:$R$23,E$61)="Commercial Loan",Assumptions!$B$4,Assumptions!$E$4)))</f>
        <v>0</v>
      </c>
      <c r="F65" s="99">
        <f>INDEX($O$4:$O$23,F$61)*IF(OR(INDEX($R$4:$R$23,F$61)=$A$75,INDEX($R$4:$R$23,F$61)=$A$76),MAX(Assumptions!$B$7+Assumptions!$B$4,INDEX($P$4:$P$23,F$61)+Assumptions!$B$4,Assumptions!$B$5),INDEX($P$4:$P$23,F$61)+IF(OR(INDEX($R$4:$R$23,F$61)="Lease/HP",INDEX($R$4:$R$23,F$61)="Lease/HP (deductible)",INDEX($R$4:$R$23,F$61)="Personal Loan (fixed)"),0,IF(INDEX($R$4:$R$23,F$61)="Commercial Loan",Assumptions!$B$4,Assumptions!$E$4)))</f>
        <v>0</v>
      </c>
      <c r="G65" s="99">
        <f>INDEX($O$4:$O$23,G$61)*IF(OR(INDEX($R$4:$R$23,G$61)=$A$75,INDEX($R$4:$R$23,G$61)=$A$76),MAX(Assumptions!$B$7+Assumptions!$B$4,INDEX($P$4:$P$23,G$61)+Assumptions!$B$4,Assumptions!$B$5),INDEX($P$4:$P$23,G$61)+IF(OR(INDEX($R$4:$R$23,G$61)="Lease/HP",INDEX($R$4:$R$23,G$61)="Lease/HP (deductible)",INDEX($R$4:$R$23,G$61)="Personal Loan (fixed)"),0,IF(INDEX($R$4:$R$23,G$61)="Commercial Loan",Assumptions!$B$4,Assumptions!$E$4)))</f>
        <v>0</v>
      </c>
      <c r="H65" s="99">
        <f>INDEX($O$4:$O$23,H$61)*IF(OR(INDEX($R$4:$R$23,H$61)=$A$75,INDEX($R$4:$R$23,H$61)=$A$76),MAX(Assumptions!$B$7+Assumptions!$B$4,INDEX($P$4:$P$23,H$61)+Assumptions!$B$4,Assumptions!$B$5),INDEX($P$4:$P$23,H$61)+IF(OR(INDEX($R$4:$R$23,H$61)="Lease/HP",INDEX($R$4:$R$23,H$61)="Lease/HP (deductible)",INDEX($R$4:$R$23,H$61)="Personal Loan (fixed)"),0,IF(INDEX($R$4:$R$23,H$61)="Commercial Loan",Assumptions!$B$4,Assumptions!$E$4)))</f>
        <v>0</v>
      </c>
      <c r="I65" s="99">
        <f>INDEX($O$4:$O$23,I$61)*IF(OR(INDEX($R$4:$R$23,I$61)=$A$75,INDEX($R$4:$R$23,I$61)=$A$76),MAX(Assumptions!$B$7+Assumptions!$B$4,INDEX($P$4:$P$23,I$61)+Assumptions!$B$4,Assumptions!$B$5),INDEX($P$4:$P$23,I$61)+IF(OR(INDEX($R$4:$R$23,I$61)="Lease/HP",INDEX($R$4:$R$23,I$61)="Lease/HP (deductible)",INDEX($R$4:$R$23,I$61)="Personal Loan (fixed)"),0,IF(INDEX($R$4:$R$23,I$61)="Commercial Loan",Assumptions!$B$4,Assumptions!$E$4)))</f>
        <v>0</v>
      </c>
      <c r="J65" s="99">
        <f>INDEX($O$4:$O$23,J$61)*IF(OR(INDEX($R$4:$R$23,J$61)=$A$75,INDEX($R$4:$R$23,J$61)=$A$76),MAX(Assumptions!$B$7+Assumptions!$B$4,INDEX($P$4:$P$23,J$61)+Assumptions!$B$4,Assumptions!$B$5),INDEX($P$4:$P$23,J$61)+IF(OR(INDEX($R$4:$R$23,J$61)="Lease/HP",INDEX($R$4:$R$23,J$61)="Lease/HP (deductible)",INDEX($R$4:$R$23,J$61)="Personal Loan (fixed)"),0,IF(INDEX($R$4:$R$23,J$61)="Commercial Loan",Assumptions!$B$4,Assumptions!$E$4)))</f>
        <v>0</v>
      </c>
      <c r="K65" s="99">
        <f>INDEX($O$4:$O$23,K$61)*IF(OR(INDEX($R$4:$R$23,K$61)=$A$75,INDEX($R$4:$R$23,K$61)=$A$76),MAX(Assumptions!$B$7+Assumptions!$B$4,INDEX($P$4:$P$23,K$61)+Assumptions!$B$4,Assumptions!$B$5),INDEX($P$4:$P$23,K$61)+IF(OR(INDEX($R$4:$R$23,K$61)="Lease/HP",INDEX($R$4:$R$23,K$61)="Lease/HP (deductible)",INDEX($R$4:$R$23,K$61)="Personal Loan (fixed)"),0,IF(INDEX($R$4:$R$23,K$61)="Commercial Loan",Assumptions!$B$4,Assumptions!$E$4)))</f>
        <v>0</v>
      </c>
      <c r="L65" s="99">
        <f>INDEX($O$4:$O$23,L$61)*IF(OR(INDEX($R$4:$R$23,L$61)=$A$75,INDEX($R$4:$R$23,L$61)=$A$76),MAX(Assumptions!$B$7+Assumptions!$B$4,INDEX($P$4:$P$23,L$61)+Assumptions!$B$4,Assumptions!$B$5),INDEX($P$4:$P$23,L$61)+IF(OR(INDEX($R$4:$R$23,L$61)="Lease/HP",INDEX($R$4:$R$23,L$61)="Lease/HP (deductible)",INDEX($R$4:$R$23,L$61)="Personal Loan (fixed)"),0,IF(INDEX($R$4:$R$23,L$61)="Commercial Loan",Assumptions!$B$4,Assumptions!$E$4)))</f>
        <v>0</v>
      </c>
      <c r="M65" s="99">
        <f>INDEX($O$4:$O$23,M$61)*IF(OR(INDEX($R$4:$R$23,M$61)=$A$75,INDEX($R$4:$R$23,M$61)=$A$76),MAX(Assumptions!$B$7+Assumptions!$B$4,INDEX($P$4:$P$23,M$61)+Assumptions!$B$4,Assumptions!$B$5),INDEX($P$4:$P$23,M$61)+IF(OR(INDEX($R$4:$R$23,M$61)="Lease/HP",INDEX($R$4:$R$23,M$61)="Lease/HP (deductible)",INDEX($R$4:$R$23,M$61)="Personal Loan (fixed)"),0,IF(INDEX($R$4:$R$23,M$61)="Commercial Loan",Assumptions!$B$4,Assumptions!$E$4)))</f>
        <v>0</v>
      </c>
      <c r="N65" s="99">
        <f>INDEX($O$4:$O$23,N$61)*IF(OR(INDEX($R$4:$R$23,N$61)=$A$75,INDEX($R$4:$R$23,N$61)=$A$76),MAX(Assumptions!$B$7+Assumptions!$B$4,INDEX($P$4:$P$23,N$61)+Assumptions!$B$4,Assumptions!$B$5),INDEX($P$4:$P$23,N$61)+IF(OR(INDEX($R$4:$R$23,N$61)="Lease/HP",INDEX($R$4:$R$23,N$61)="Lease/HP (deductible)",INDEX($R$4:$R$23,N$61)="Personal Loan (fixed)"),0,IF(INDEX($R$4:$R$23,N$61)="Commercial Loan",Assumptions!$B$4,Assumptions!$E$4)))</f>
        <v>0</v>
      </c>
      <c r="O65" s="99">
        <f>INDEX($O$4:$O$23,O$61)*IF(OR(INDEX($R$4:$R$23,O$61)=$A$75,INDEX($R$4:$R$23,O$61)=$A$76),MAX(Assumptions!$B$7+Assumptions!$B$4,INDEX($P$4:$P$23,O$61)+Assumptions!$B$4,Assumptions!$B$5),INDEX($P$4:$P$23,O$61)+IF(OR(INDEX($R$4:$R$23,O$61)="Lease/HP",INDEX($R$4:$R$23,O$61)="Lease/HP (deductible)",INDEX($R$4:$R$23,O$61)="Personal Loan (fixed)"),0,IF(INDEX($R$4:$R$23,O$61)="Commercial Loan",Assumptions!$B$4,Assumptions!$E$4)))</f>
        <v>0</v>
      </c>
      <c r="P65" s="99">
        <f>INDEX($O$4:$O$23,P$61)*IF(OR(INDEX($R$4:$R$23,P$61)=$A$75,INDEX($R$4:$R$23,P$61)=$A$76),MAX(Assumptions!$B$7+Assumptions!$B$4,INDEX($P$4:$P$23,P$61)+Assumptions!$B$4,Assumptions!$B$5),INDEX($P$4:$P$23,P$61)+IF(OR(INDEX($R$4:$R$23,P$61)="Lease/HP",INDEX($R$4:$R$23,P$61)="Lease/HP (deductible)",INDEX($R$4:$R$23,P$61)="Personal Loan (fixed)"),0,IF(INDEX($R$4:$R$23,P$61)="Commercial Loan",Assumptions!$B$4,Assumptions!$E$4)))</f>
        <v>0</v>
      </c>
      <c r="Q65" s="99">
        <f>INDEX($O$4:$O$23,Q$61)*IF(OR(INDEX($R$4:$R$23,Q$61)=$A$75,INDEX($R$4:$R$23,Q$61)=$A$76),MAX(Assumptions!$B$7+Assumptions!$B$4,INDEX($P$4:$P$23,Q$61)+Assumptions!$B$4,Assumptions!$B$5),INDEX($P$4:$P$23,Q$61)+IF(OR(INDEX($R$4:$R$23,Q$61)="Lease/HP",INDEX($R$4:$R$23,Q$61)="Lease/HP (deductible)",INDEX($R$4:$R$23,Q$61)="Personal Loan (fixed)"),0,IF(INDEX($R$4:$R$23,Q$61)="Commercial Loan",Assumptions!$B$4,Assumptions!$E$4)))</f>
        <v>0</v>
      </c>
      <c r="R65" s="99">
        <f>INDEX($O$4:$O$23,R$61)*IF(OR(INDEX($R$4:$R$23,R$61)=$A$75,INDEX($R$4:$R$23,R$61)=$A$76),MAX(Assumptions!$B$7+Assumptions!$B$4,INDEX($P$4:$P$23,R$61)+Assumptions!$B$4,Assumptions!$B$5),INDEX($P$4:$P$23,R$61)+IF(OR(INDEX($R$4:$R$23,R$61)="Lease/HP",INDEX($R$4:$R$23,R$61)="Lease/HP (deductible)",INDEX($R$4:$R$23,R$61)="Personal Loan (fixed)"),0,IF(INDEX($R$4:$R$23,R$61)="Commercial Loan",Assumptions!$B$4,Assumptions!$E$4)))</f>
        <v>0</v>
      </c>
      <c r="S65" s="99">
        <f>INDEX($O$4:$O$23,S$61)*IF(OR(INDEX($R$4:$R$23,S$61)=$A$75,INDEX($R$4:$R$23,S$61)=$A$76),MAX(Assumptions!$B$7+Assumptions!$B$4,INDEX($P$4:$P$23,S$61)+Assumptions!$B$4,Assumptions!$B$5),INDEX($P$4:$P$23,S$61)+IF(OR(INDEX($R$4:$R$23,S$61)="Lease/HP",INDEX($R$4:$R$23,S$61)="Lease/HP (deductible)",INDEX($R$4:$R$23,S$61)="Personal Loan (fixed)"),0,IF(INDEX($R$4:$R$23,S$61)="Commercial Loan",Assumptions!$B$4,Assumptions!$E$4)))</f>
        <v>0</v>
      </c>
      <c r="T65" s="99">
        <f>INDEX($O$4:$O$23,T$61)*IF(OR(INDEX($R$4:$R$23,T$61)=$A$75,INDEX($R$4:$R$23,T$61)=$A$76),MAX(Assumptions!$B$7+Assumptions!$B$4,INDEX($P$4:$P$23,T$61)+Assumptions!$B$4,Assumptions!$B$5),INDEX($P$4:$P$23,T$61)+IF(OR(INDEX($R$4:$R$23,T$61)="Lease/HP",INDEX($R$4:$R$23,T$61)="Lease/HP (deductible)",INDEX($R$4:$R$23,T$61)="Personal Loan (fixed)"),0,IF(INDEX($R$4:$R$23,T$61)="Commercial Loan",Assumptions!$B$4,Assumptions!$E$4)))</f>
        <v>0</v>
      </c>
      <c r="U65" s="99">
        <f>INDEX($O$4:$O$23,U$61)*IF(OR(INDEX($R$4:$R$23,U$61)=$A$75,INDEX($R$4:$R$23,U$61)=$A$76),MAX(Assumptions!$B$7+Assumptions!$B$4,INDEX($P$4:$P$23,U$61)+Assumptions!$B$4,Assumptions!$B$5),INDEX($P$4:$P$23,U$61)+IF(OR(INDEX($R$4:$R$23,U$61)="Lease/HP",INDEX($R$4:$R$23,U$61)="Lease/HP (deductible)",INDEX($R$4:$R$23,U$61)="Personal Loan (fixed)"),0,IF(INDEX($R$4:$R$23,U$61)="Commercial Loan",Assumptions!$B$4,Assumptions!$E$4)))</f>
        <v>0</v>
      </c>
    </row>
    <row r="66" spans="1:21" s="4" customFormat="1" hidden="1" x14ac:dyDescent="0.2">
      <c r="A66" s="4" t="s">
        <v>174</v>
      </c>
      <c r="B66" s="92">
        <f t="shared" ref="B66:U66" si="18">_xlfn.IFNA(INDEX(B79:B88,MATCH(INDEX($R$4:$R$23,B$61),$A$79:$A$88,0)),0)</f>
        <v>0</v>
      </c>
      <c r="C66" s="92">
        <f t="shared" si="18"/>
        <v>0</v>
      </c>
      <c r="D66" s="92">
        <f t="shared" si="18"/>
        <v>0</v>
      </c>
      <c r="E66" s="92">
        <f t="shared" si="18"/>
        <v>0</v>
      </c>
      <c r="F66" s="92">
        <f t="shared" si="18"/>
        <v>0</v>
      </c>
      <c r="G66" s="92">
        <f t="shared" si="18"/>
        <v>0</v>
      </c>
      <c r="H66" s="92">
        <f t="shared" si="18"/>
        <v>0</v>
      </c>
      <c r="I66" s="92">
        <f t="shared" si="18"/>
        <v>0</v>
      </c>
      <c r="J66" s="92">
        <f t="shared" si="18"/>
        <v>0</v>
      </c>
      <c r="K66" s="92">
        <f t="shared" si="18"/>
        <v>0</v>
      </c>
      <c r="L66" s="92">
        <f t="shared" si="18"/>
        <v>0</v>
      </c>
      <c r="M66" s="92">
        <f t="shared" si="18"/>
        <v>0</v>
      </c>
      <c r="N66" s="92">
        <f t="shared" si="18"/>
        <v>0</v>
      </c>
      <c r="O66" s="92">
        <f t="shared" si="18"/>
        <v>0</v>
      </c>
      <c r="P66" s="92">
        <f t="shared" si="18"/>
        <v>0</v>
      </c>
      <c r="Q66" s="92">
        <f t="shared" si="18"/>
        <v>0</v>
      </c>
      <c r="R66" s="92">
        <f t="shared" si="18"/>
        <v>0</v>
      </c>
      <c r="S66" s="92">
        <f t="shared" si="18"/>
        <v>0</v>
      </c>
      <c r="T66" s="92">
        <f t="shared" si="18"/>
        <v>0</v>
      </c>
      <c r="U66" s="92">
        <f t="shared" si="18"/>
        <v>0</v>
      </c>
    </row>
    <row r="67" spans="1:21" hidden="1" x14ac:dyDescent="0.2">
      <c r="A67" s="3" t="s">
        <v>167</v>
      </c>
      <c r="B67" s="99" t="str">
        <f t="shared" ref="B67:U67" si="19">IF(INDEX($O$4:$O$23,B$61)="","",IF(ISNA(VLOOKUP(INDEX($R$4:$R$23,B$61),$AK$2:$AK$5,1,FALSE)),0,1))</f>
        <v/>
      </c>
      <c r="C67" s="99" t="str">
        <f t="shared" si="19"/>
        <v/>
      </c>
      <c r="D67" s="99" t="str">
        <f t="shared" si="19"/>
        <v/>
      </c>
      <c r="E67" s="99" t="str">
        <f t="shared" si="19"/>
        <v/>
      </c>
      <c r="F67" s="99" t="str">
        <f t="shared" si="19"/>
        <v/>
      </c>
      <c r="G67" s="99" t="str">
        <f t="shared" si="19"/>
        <v/>
      </c>
      <c r="H67" s="99" t="str">
        <f t="shared" si="19"/>
        <v/>
      </c>
      <c r="I67" s="99" t="str">
        <f t="shared" si="19"/>
        <v/>
      </c>
      <c r="J67" s="99" t="str">
        <f t="shared" si="19"/>
        <v/>
      </c>
      <c r="K67" s="99" t="str">
        <f t="shared" si="19"/>
        <v/>
      </c>
      <c r="L67" s="99" t="str">
        <f t="shared" si="19"/>
        <v/>
      </c>
      <c r="M67" s="99" t="str">
        <f t="shared" si="19"/>
        <v/>
      </c>
      <c r="N67" s="99" t="str">
        <f t="shared" si="19"/>
        <v/>
      </c>
      <c r="O67" s="99" t="str">
        <f t="shared" si="19"/>
        <v/>
      </c>
      <c r="P67" s="99" t="str">
        <f t="shared" si="19"/>
        <v/>
      </c>
      <c r="Q67" s="99" t="str">
        <f t="shared" si="19"/>
        <v/>
      </c>
      <c r="R67" s="99" t="str">
        <f t="shared" si="19"/>
        <v/>
      </c>
      <c r="S67" s="99" t="str">
        <f t="shared" si="19"/>
        <v/>
      </c>
      <c r="T67" s="99" t="str">
        <f t="shared" si="19"/>
        <v/>
      </c>
      <c r="U67" s="99" t="str">
        <f t="shared" si="19"/>
        <v/>
      </c>
    </row>
    <row r="68" spans="1:21" hidden="1" x14ac:dyDescent="0.2">
      <c r="A68" s="3" t="s">
        <v>168</v>
      </c>
      <c r="B68" s="99" t="str">
        <f t="shared" ref="B68:C68" si="20">IF(B67="","",1-B67)</f>
        <v/>
      </c>
      <c r="C68" s="99" t="str">
        <f t="shared" si="20"/>
        <v/>
      </c>
      <c r="D68" s="99" t="str">
        <f>IF(D67="","",1-D67)</f>
        <v/>
      </c>
      <c r="E68" s="99" t="str">
        <f t="shared" ref="E68:U68" si="21">IF(E67="","",1-E67)</f>
        <v/>
      </c>
      <c r="F68" s="99" t="str">
        <f t="shared" si="21"/>
        <v/>
      </c>
      <c r="G68" s="99" t="str">
        <f t="shared" si="21"/>
        <v/>
      </c>
      <c r="H68" s="99" t="str">
        <f t="shared" si="21"/>
        <v/>
      </c>
      <c r="I68" s="99" t="str">
        <f t="shared" si="21"/>
        <v/>
      </c>
      <c r="J68" s="99" t="str">
        <f t="shared" si="21"/>
        <v/>
      </c>
      <c r="K68" s="99" t="str">
        <f t="shared" si="21"/>
        <v/>
      </c>
      <c r="L68" s="99" t="str">
        <f t="shared" si="21"/>
        <v/>
      </c>
      <c r="M68" s="99" t="str">
        <f t="shared" si="21"/>
        <v/>
      </c>
      <c r="N68" s="99" t="str">
        <f t="shared" si="21"/>
        <v/>
      </c>
      <c r="O68" s="99" t="str">
        <f t="shared" si="21"/>
        <v/>
      </c>
      <c r="P68" s="99" t="str">
        <f t="shared" si="21"/>
        <v/>
      </c>
      <c r="Q68" s="99" t="str">
        <f t="shared" si="21"/>
        <v/>
      </c>
      <c r="R68" s="99" t="str">
        <f t="shared" si="21"/>
        <v/>
      </c>
      <c r="S68" s="99" t="str">
        <f t="shared" si="21"/>
        <v/>
      </c>
      <c r="T68" s="99" t="str">
        <f t="shared" si="21"/>
        <v/>
      </c>
      <c r="U68" s="99" t="str">
        <f t="shared" si="21"/>
        <v/>
      </c>
    </row>
    <row r="69" spans="1:21" hidden="1" x14ac:dyDescent="0.2">
      <c r="A69" s="78" t="s">
        <v>133</v>
      </c>
      <c r="B69" s="99">
        <f t="shared" ref="B69:Q71" si="22">IF(INDEX($R$4:$R$23,B$61)=$A69,MAX(INDEX($Q$4:$Q$23,B$61)*12,B$63),0)</f>
        <v>0</v>
      </c>
      <c r="C69" s="99">
        <f t="shared" si="22"/>
        <v>0</v>
      </c>
      <c r="D69" s="99">
        <f t="shared" si="22"/>
        <v>0</v>
      </c>
      <c r="E69" s="99">
        <f t="shared" si="22"/>
        <v>0</v>
      </c>
      <c r="F69" s="99">
        <f t="shared" si="22"/>
        <v>0</v>
      </c>
      <c r="G69" s="99">
        <f t="shared" si="22"/>
        <v>0</v>
      </c>
      <c r="H69" s="99">
        <f t="shared" si="22"/>
        <v>0</v>
      </c>
      <c r="I69" s="99">
        <f t="shared" si="22"/>
        <v>0</v>
      </c>
      <c r="J69" s="99">
        <f t="shared" si="22"/>
        <v>0</v>
      </c>
      <c r="K69" s="99">
        <f t="shared" si="22"/>
        <v>0</v>
      </c>
      <c r="L69" s="99">
        <f t="shared" si="22"/>
        <v>0</v>
      </c>
      <c r="M69" s="99">
        <f t="shared" si="22"/>
        <v>0</v>
      </c>
      <c r="N69" s="99">
        <f t="shared" si="22"/>
        <v>0</v>
      </c>
      <c r="O69" s="99">
        <f t="shared" si="22"/>
        <v>0</v>
      </c>
      <c r="P69" s="99">
        <f t="shared" si="22"/>
        <v>0</v>
      </c>
      <c r="Q69" s="99">
        <f t="shared" si="22"/>
        <v>0</v>
      </c>
      <c r="R69" s="99">
        <f t="shared" ref="L69:U71" si="23">IF(INDEX($R$4:$R$23,R$61)=$A69,MAX(INDEX($Q$4:$Q$23,R$61)*12,R$63),0)</f>
        <v>0</v>
      </c>
      <c r="S69" s="99">
        <f t="shared" si="23"/>
        <v>0</v>
      </c>
      <c r="T69" s="99">
        <f t="shared" si="23"/>
        <v>0</v>
      </c>
      <c r="U69" s="99">
        <f t="shared" si="23"/>
        <v>0</v>
      </c>
    </row>
    <row r="70" spans="1:21" s="252" customFormat="1" hidden="1" x14ac:dyDescent="0.2">
      <c r="A70" s="250" t="s">
        <v>115</v>
      </c>
      <c r="B70" s="251">
        <f t="shared" si="22"/>
        <v>0</v>
      </c>
      <c r="C70" s="251">
        <f t="shared" si="22"/>
        <v>0</v>
      </c>
      <c r="D70" s="251">
        <f t="shared" si="22"/>
        <v>0</v>
      </c>
      <c r="E70" s="251">
        <f t="shared" si="22"/>
        <v>0</v>
      </c>
      <c r="F70" s="251">
        <f t="shared" si="22"/>
        <v>0</v>
      </c>
      <c r="G70" s="251">
        <f t="shared" si="22"/>
        <v>0</v>
      </c>
      <c r="H70" s="251">
        <f t="shared" si="22"/>
        <v>0</v>
      </c>
      <c r="I70" s="251">
        <f t="shared" si="22"/>
        <v>0</v>
      </c>
      <c r="J70" s="251">
        <f t="shared" si="22"/>
        <v>0</v>
      </c>
      <c r="K70" s="251">
        <f t="shared" si="22"/>
        <v>0</v>
      </c>
      <c r="L70" s="251">
        <f t="shared" si="23"/>
        <v>0</v>
      </c>
      <c r="M70" s="251">
        <f t="shared" si="23"/>
        <v>0</v>
      </c>
      <c r="N70" s="251">
        <f t="shared" si="23"/>
        <v>0</v>
      </c>
      <c r="O70" s="251">
        <f t="shared" si="23"/>
        <v>0</v>
      </c>
      <c r="P70" s="251">
        <f t="shared" si="23"/>
        <v>0</v>
      </c>
      <c r="Q70" s="251">
        <f t="shared" si="23"/>
        <v>0</v>
      </c>
      <c r="R70" s="251">
        <f t="shared" si="23"/>
        <v>0</v>
      </c>
      <c r="S70" s="251">
        <f t="shared" si="23"/>
        <v>0</v>
      </c>
      <c r="T70" s="251">
        <f t="shared" si="23"/>
        <v>0</v>
      </c>
      <c r="U70" s="251">
        <f t="shared" si="23"/>
        <v>0</v>
      </c>
    </row>
    <row r="71" spans="1:21" hidden="1" x14ac:dyDescent="0.2">
      <c r="A71" s="3" t="s">
        <v>135</v>
      </c>
      <c r="B71" s="99">
        <f t="shared" si="22"/>
        <v>0</v>
      </c>
      <c r="C71" s="99">
        <f t="shared" si="22"/>
        <v>0</v>
      </c>
      <c r="D71" s="99">
        <f t="shared" si="22"/>
        <v>0</v>
      </c>
      <c r="E71" s="99">
        <f t="shared" si="22"/>
        <v>0</v>
      </c>
      <c r="F71" s="99">
        <f t="shared" si="22"/>
        <v>0</v>
      </c>
      <c r="G71" s="99">
        <f t="shared" si="22"/>
        <v>0</v>
      </c>
      <c r="H71" s="99">
        <f t="shared" si="22"/>
        <v>0</v>
      </c>
      <c r="I71" s="99">
        <f t="shared" si="22"/>
        <v>0</v>
      </c>
      <c r="J71" s="99">
        <f t="shared" si="22"/>
        <v>0</v>
      </c>
      <c r="K71" s="99">
        <f t="shared" si="22"/>
        <v>0</v>
      </c>
      <c r="L71" s="99">
        <f t="shared" si="23"/>
        <v>0</v>
      </c>
      <c r="M71" s="99">
        <f t="shared" si="23"/>
        <v>0</v>
      </c>
      <c r="N71" s="99">
        <f t="shared" si="23"/>
        <v>0</v>
      </c>
      <c r="O71" s="99">
        <f t="shared" si="23"/>
        <v>0</v>
      </c>
      <c r="P71" s="99">
        <f t="shared" si="23"/>
        <v>0</v>
      </c>
      <c r="Q71" s="99">
        <f t="shared" si="23"/>
        <v>0</v>
      </c>
      <c r="R71" s="99">
        <f t="shared" si="23"/>
        <v>0</v>
      </c>
      <c r="S71" s="99">
        <f t="shared" si="23"/>
        <v>0</v>
      </c>
      <c r="T71" s="99">
        <f t="shared" si="23"/>
        <v>0</v>
      </c>
      <c r="U71" s="99">
        <f t="shared" si="23"/>
        <v>0</v>
      </c>
    </row>
    <row r="72" spans="1:21" hidden="1" x14ac:dyDescent="0.2">
      <c r="A72" s="3" t="s">
        <v>141</v>
      </c>
      <c r="B72" s="99">
        <f>IF(INDEX($R$4:$R$23,B$61)=$A72,MAX(INDEX($Q$4:$Q$23,B$61)*12,PMT(INDEX($P$4:$P$23,B$61)/12,Assumptions!$B$9,-INDEX($O$4:$O$23,B$61))*12),0)</f>
        <v>0</v>
      </c>
      <c r="C72" s="99">
        <f>IF(INDEX($R$4:$R$23,C$61)=$A72,MAX(INDEX($Q$4:$Q$23,C$61)*12,PMT(INDEX($P$4:$P$23,C$61)/12,Assumptions!$B$9,-INDEX($O$4:$O$23,C$61))*12),0)</f>
        <v>0</v>
      </c>
      <c r="D72" s="99">
        <f>IF(INDEX($R$4:$R$23,D$61)=$A72,MAX(INDEX($Q$4:$Q$23,D$61)*12,PMT(INDEX($P$4:$P$23,D$61)/12,Assumptions!$B$9,-INDEX($O$4:$O$23,D$61))*12),0)</f>
        <v>0</v>
      </c>
      <c r="E72" s="99">
        <f>IF(INDEX($R$4:$R$23,E$61)=$A72,MAX(INDEX($Q$4:$Q$23,E$61)*12,PMT(INDEX($P$4:$P$23,E$61)/12,Assumptions!$B$9,-INDEX($O$4:$O$23,E$61))*12),0)</f>
        <v>0</v>
      </c>
      <c r="F72" s="99">
        <f>IF(INDEX($R$4:$R$23,F$61)=$A72,MAX(INDEX($Q$4:$Q$23,F$61)*12,PMT(INDEX($P$4:$P$23,F$61)/12,Assumptions!$B$9,-INDEX($O$4:$O$23,F$61))*12),0)</f>
        <v>0</v>
      </c>
      <c r="G72" s="99">
        <f>IF(INDEX($R$4:$R$23,G$61)=$A72,MAX(INDEX($Q$4:$Q$23,G$61)*12,PMT(INDEX($P$4:$P$23,G$61)/12,Assumptions!$B$9,-INDEX($O$4:$O$23,G$61))*12),0)</f>
        <v>0</v>
      </c>
      <c r="H72" s="99">
        <f>IF(INDEX($R$4:$R$23,H$61)=$A72,MAX(INDEX($Q$4:$Q$23,H$61)*12,PMT(INDEX($P$4:$P$23,H$61)/12,Assumptions!$B$9,-INDEX($O$4:$O$23,H$61))*12),0)</f>
        <v>0</v>
      </c>
      <c r="I72" s="99">
        <f>IF(INDEX($R$4:$R$23,I$61)=$A72,MAX(INDEX($Q$4:$Q$23,I$61)*12,PMT(INDEX($P$4:$P$23,I$61)/12,Assumptions!$B$9,-INDEX($O$4:$O$23,I$61))*12),0)</f>
        <v>0</v>
      </c>
      <c r="J72" s="99">
        <f>IF(INDEX($R$4:$R$23,J$61)=$A72,MAX(INDEX($Q$4:$Q$23,J$61)*12,PMT(INDEX($P$4:$P$23,J$61)/12,Assumptions!$B$9,-INDEX($O$4:$O$23,J$61))*12),0)</f>
        <v>0</v>
      </c>
      <c r="K72" s="99">
        <f>IF(INDEX($R$4:$R$23,K$61)=$A72,MAX(INDEX($Q$4:$Q$23,K$61)*12,PMT(INDEX($P$4:$P$23,K$61)/12,Assumptions!$B$9,-INDEX($O$4:$O$23,K$61))*12),0)</f>
        <v>0</v>
      </c>
      <c r="L72" s="99">
        <f>IF(INDEX($R$4:$R$23,L$61)=$A72,MAX(INDEX($Q$4:$Q$23,L$61)*12,PMT(INDEX($P$4:$P$23,L$61)/12,Assumptions!$B$9,-INDEX($O$4:$O$23,L$61))*12),0)</f>
        <v>0</v>
      </c>
      <c r="M72" s="99">
        <f>IF(INDEX($R$4:$R$23,M$61)=$A72,MAX(INDEX($Q$4:$Q$23,M$61)*12,PMT(INDEX($P$4:$P$23,M$61)/12,Assumptions!$B$9,-INDEX($O$4:$O$23,M$61))*12),0)</f>
        <v>0</v>
      </c>
      <c r="N72" s="99">
        <f>IF(INDEX($R$4:$R$23,N$61)=$A72,MAX(INDEX($Q$4:$Q$23,N$61)*12,PMT(INDEX($P$4:$P$23,N$61)/12,Assumptions!$B$9,-INDEX($O$4:$O$23,N$61))*12),0)</f>
        <v>0</v>
      </c>
      <c r="O72" s="99">
        <f>IF(INDEX($R$4:$R$23,O$61)=$A72,MAX(INDEX($Q$4:$Q$23,O$61)*12,PMT(INDEX($P$4:$P$23,O$61)/12,Assumptions!$B$9,-INDEX($O$4:$O$23,O$61))*12),0)</f>
        <v>0</v>
      </c>
      <c r="P72" s="99">
        <f>IF(INDEX($R$4:$R$23,P$61)=$A72,MAX(INDEX($Q$4:$Q$23,P$61)*12,PMT(INDEX($P$4:$P$23,P$61)/12,Assumptions!$B$9,-INDEX($O$4:$O$23,P$61))*12),0)</f>
        <v>0</v>
      </c>
      <c r="Q72" s="99">
        <f>IF(INDEX($R$4:$R$23,Q$61)=$A72,MAX(INDEX($Q$4:$Q$23,Q$61)*12,PMT(INDEX($P$4:$P$23,Q$61)/12,Assumptions!$B$9,-INDEX($O$4:$O$23,Q$61))*12),0)</f>
        <v>0</v>
      </c>
      <c r="R72" s="99">
        <f>IF(INDEX($R$4:$R$23,R$61)=$A72,MAX(INDEX($Q$4:$Q$23,R$61)*12,PMT(INDEX($P$4:$P$23,R$61)/12,Assumptions!$B$9,-INDEX($O$4:$O$23,R$61))*12),0)</f>
        <v>0</v>
      </c>
      <c r="S72" s="99">
        <f>IF(INDEX($R$4:$R$23,S$61)=$A72,MAX(INDEX($Q$4:$Q$23,S$61)*12,PMT(INDEX($P$4:$P$23,S$61)/12,Assumptions!$B$9,-INDEX($O$4:$O$23,S$61))*12),0)</f>
        <v>0</v>
      </c>
      <c r="T72" s="99">
        <f>IF(INDEX($R$4:$R$23,T$61)=$A72,MAX(INDEX($Q$4:$Q$23,T$61)*12,PMT(INDEX($P$4:$P$23,T$61)/12,Assumptions!$B$9,-INDEX($O$4:$O$23,T$61))*12),0)</f>
        <v>0</v>
      </c>
      <c r="U72" s="99">
        <f>IF(INDEX($R$4:$R$23,U$61)=$A72,MAX(INDEX($Q$4:$Q$23,U$61)*12,PMT(INDEX($P$4:$P$23,U$61)/12,Assumptions!$B$9,-INDEX($O$4:$O$23,U$61))*12),0)</f>
        <v>0</v>
      </c>
    </row>
    <row r="73" spans="1:21" hidden="1" x14ac:dyDescent="0.2">
      <c r="A73" s="3" t="s">
        <v>144</v>
      </c>
      <c r="B73" s="99">
        <f>IF(INDEX($R$4:$R$23,B$61)=$A73,MAX(INDEX($Q$4:$Q$23,B$61)*12,PMT(INDEX($P$4:$P$23,B$61)/12,Assumptions!$B$11,-INDEX($O$4:$O$23,B$61),Assumptions!$B$12*INDEX($O$4:$O$23,B$61))*12),0)</f>
        <v>0</v>
      </c>
      <c r="C73" s="99">
        <f>IF(INDEX($R$4:$R$23,C$61)=$A73,MAX(INDEX($Q$4:$Q$23,C$61)*12,PMT(INDEX($P$4:$P$23,C$61)/12,Assumptions!$B$11,-INDEX($O$4:$O$23,C$61),Assumptions!$B$12*INDEX($O$4:$O$23,C$61))*12),0)</f>
        <v>0</v>
      </c>
      <c r="D73" s="99">
        <f>IF(INDEX($R$4:$R$23,D$61)=$A73,MAX(INDEX($Q$4:$Q$23,D$61)*12,PMT(INDEX($P$4:$P$23,D$61)/12,Assumptions!$B$11,-INDEX($O$4:$O$23,D$61),Assumptions!$B$12*INDEX($O$4:$O$23,D$61))*12),0)</f>
        <v>0</v>
      </c>
      <c r="E73" s="99">
        <f>IF(INDEX($R$4:$R$23,E$61)=$A73,MAX(INDEX($Q$4:$Q$23,E$61)*12,PMT(INDEX($P$4:$P$23,E$61)/12,Assumptions!$B$11,-INDEX($O$4:$O$23,E$61),Assumptions!$B$12*INDEX($O$4:$O$23,E$61))*12),0)</f>
        <v>0</v>
      </c>
      <c r="F73" s="99">
        <f>IF(INDEX($R$4:$R$23,F$61)=$A73,MAX(INDEX($Q$4:$Q$23,F$61)*12,PMT(INDEX($P$4:$P$23,F$61)/12,Assumptions!$B$11,-INDEX($O$4:$O$23,F$61),Assumptions!$B$12*INDEX($O$4:$O$23,F$61))*12),0)</f>
        <v>0</v>
      </c>
      <c r="G73" s="99">
        <f>IF(INDEX($R$4:$R$23,G$61)=$A73,MAX(INDEX($Q$4:$Q$23,G$61)*12,PMT(INDEX($P$4:$P$23,G$61)/12,Assumptions!$B$11,-INDEX($O$4:$O$23,G$61),Assumptions!$B$12*INDEX($O$4:$O$23,G$61))*12),0)</f>
        <v>0</v>
      </c>
      <c r="H73" s="99">
        <f>IF(INDEX($R$4:$R$23,H$61)=$A73,MAX(INDEX($Q$4:$Q$23,H$61)*12,PMT(INDEX($P$4:$P$23,H$61)/12,Assumptions!$B$11,-INDEX($O$4:$O$23,H$61),Assumptions!$B$12*INDEX($O$4:$O$23,H$61))*12),0)</f>
        <v>0</v>
      </c>
      <c r="I73" s="99">
        <f>IF(INDEX($R$4:$R$23,I$61)=$A73,MAX(INDEX($Q$4:$Q$23,I$61)*12,PMT(INDEX($P$4:$P$23,I$61)/12,Assumptions!$B$11,-INDEX($O$4:$O$23,I$61),Assumptions!$B$12*INDEX($O$4:$O$23,I$61))*12),0)</f>
        <v>0</v>
      </c>
      <c r="J73" s="99">
        <f>IF(INDEX($R$4:$R$23,J$61)=$A73,MAX(INDEX($Q$4:$Q$23,J$61)*12,PMT(INDEX($P$4:$P$23,J$61)/12,Assumptions!$B$11,-INDEX($O$4:$O$23,J$61),Assumptions!$B$12*INDEX($O$4:$O$23,J$61))*12),0)</f>
        <v>0</v>
      </c>
      <c r="K73" s="99">
        <f>IF(INDEX($R$4:$R$23,K$61)=$A73,MAX(INDEX($Q$4:$Q$23,K$61)*12,PMT(INDEX($P$4:$P$23,K$61)/12,Assumptions!$B$11,-INDEX($O$4:$O$23,K$61),Assumptions!$B$12*INDEX($O$4:$O$23,K$61))*12),0)</f>
        <v>0</v>
      </c>
      <c r="L73" s="99">
        <f>IF(INDEX($R$4:$R$23,L$61)=$A73,MAX(INDEX($Q$4:$Q$23,L$61)*12,PMT(INDEX($P$4:$P$23,L$61)/12,Assumptions!$B$11,-INDEX($O$4:$O$23,L$61),Assumptions!$B$12*INDEX($O$4:$O$23,L$61))*12),0)</f>
        <v>0</v>
      </c>
      <c r="M73" s="99">
        <f>IF(INDEX($R$4:$R$23,M$61)=$A73,MAX(INDEX($Q$4:$Q$23,M$61)*12,PMT(INDEX($P$4:$P$23,M$61)/12,Assumptions!$B$11,-INDEX($O$4:$O$23,M$61),Assumptions!$B$12*INDEX($O$4:$O$23,M$61))*12),0)</f>
        <v>0</v>
      </c>
      <c r="N73" s="99">
        <f>IF(INDEX($R$4:$R$23,N$61)=$A73,MAX(INDEX($Q$4:$Q$23,N$61)*12,PMT(INDEX($P$4:$P$23,N$61)/12,Assumptions!$B$11,-INDEX($O$4:$O$23,N$61),Assumptions!$B$12*INDEX($O$4:$O$23,N$61))*12),0)</f>
        <v>0</v>
      </c>
      <c r="O73" s="99">
        <f>IF(INDEX($R$4:$R$23,O$61)=$A73,MAX(INDEX($Q$4:$Q$23,O$61)*12,PMT(INDEX($P$4:$P$23,O$61)/12,Assumptions!$B$11,-INDEX($O$4:$O$23,O$61),Assumptions!$B$12*INDEX($O$4:$O$23,O$61))*12),0)</f>
        <v>0</v>
      </c>
      <c r="P73" s="99">
        <f>IF(INDEX($R$4:$R$23,P$61)=$A73,MAX(INDEX($Q$4:$Q$23,P$61)*12,PMT(INDEX($P$4:$P$23,P$61)/12,Assumptions!$B$11,-INDEX($O$4:$O$23,P$61),Assumptions!$B$12*INDEX($O$4:$O$23,P$61))*12),0)</f>
        <v>0</v>
      </c>
      <c r="Q73" s="99">
        <f>IF(INDEX($R$4:$R$23,Q$61)=$A73,MAX(INDEX($Q$4:$Q$23,Q$61)*12,PMT(INDEX($P$4:$P$23,Q$61)/12,Assumptions!$B$11,-INDEX($O$4:$O$23,Q$61),Assumptions!$B$12*INDEX($O$4:$O$23,Q$61))*12),0)</f>
        <v>0</v>
      </c>
      <c r="R73" s="99">
        <f>IF(INDEX($R$4:$R$23,R$61)=$A73,MAX(INDEX($Q$4:$Q$23,R$61)*12,PMT(INDEX($P$4:$P$23,R$61)/12,Assumptions!$B$11,-INDEX($O$4:$O$23,R$61),Assumptions!$B$12*INDEX($O$4:$O$23,R$61))*12),0)</f>
        <v>0</v>
      </c>
      <c r="S73" s="99">
        <f>IF(INDEX($R$4:$R$23,S$61)=$A73,MAX(INDEX($Q$4:$Q$23,S$61)*12,PMT(INDEX($P$4:$P$23,S$61)/12,Assumptions!$B$11,-INDEX($O$4:$O$23,S$61),Assumptions!$B$12*INDEX($O$4:$O$23,S$61))*12),0)</f>
        <v>0</v>
      </c>
      <c r="T73" s="99">
        <f>IF(INDEX($R$4:$R$23,T$61)=$A73,MAX(INDEX($Q$4:$Q$23,T$61)*12,PMT(INDEX($P$4:$P$23,T$61)/12,Assumptions!$B$11,-INDEX($O$4:$O$23,T$61),Assumptions!$B$12*INDEX($O$4:$O$23,T$61))*12),0)</f>
        <v>0</v>
      </c>
      <c r="U73" s="99">
        <f>IF(INDEX($R$4:$R$23,U$61)=$A73,MAX(INDEX($Q$4:$Q$23,U$61)*12,PMT(INDEX($P$4:$P$23,U$61)/12,Assumptions!$B$11,-INDEX($O$4:$O$23,U$61),Assumptions!$B$12*INDEX($O$4:$O$23,U$61))*12),0)</f>
        <v>0</v>
      </c>
    </row>
    <row r="74" spans="1:21" hidden="1" x14ac:dyDescent="0.2">
      <c r="A74" s="78" t="s">
        <v>138</v>
      </c>
      <c r="B74" s="99">
        <f>IF(INDEX($R$4:$R$23,B$61)=$A74,MAX(INDEX($Q$4:$Q$23,B$61)*12,PMT(INDEX($P$4:$P$23,B$61)/12,Assumptions!$B$11,-INDEX($O$4:$O$23,B$61),Assumptions!$B$12*INDEX($O$4:$O$23,B$61))*12),0)</f>
        <v>0</v>
      </c>
      <c r="C74" s="99">
        <f>IF(INDEX($R$4:$R$23,C$61)=$A74,MAX(INDEX($Q$4:$Q$23,C$61)*12,PMT(INDEX($P$4:$P$23,C$61)/12,Assumptions!$B$11,-INDEX($O$4:$O$23,C$61),Assumptions!$B$12*INDEX($O$4:$O$23,C$61))*12),0)</f>
        <v>0</v>
      </c>
      <c r="D74" s="99">
        <f>IF(INDEX($R$4:$R$23,D$61)=$A74,MAX(INDEX($Q$4:$Q$23,D$61)*12,PMT(INDEX($P$4:$P$23,D$61)/12,Assumptions!$B$11,-INDEX($O$4:$O$23,D$61),Assumptions!$B$12*INDEX($O$4:$O$23,D$61))*12),0)</f>
        <v>0</v>
      </c>
      <c r="E74" s="99">
        <f>IF(INDEX($R$4:$R$23,E$61)=$A74,MAX(INDEX($Q$4:$Q$23,E$61)*12,PMT(INDEX($P$4:$P$23,E$61)/12,Assumptions!$B$11,-INDEX($O$4:$O$23,E$61),Assumptions!$B$12*INDEX($O$4:$O$23,E$61))*12),0)</f>
        <v>0</v>
      </c>
      <c r="F74" s="99">
        <f>IF(INDEX($R$4:$R$23,F$61)=$A74,MAX(INDEX($Q$4:$Q$23,F$61)*12,PMT(INDEX($P$4:$P$23,F$61)/12,Assumptions!$B$11,-INDEX($O$4:$O$23,F$61),Assumptions!$B$12*INDEX($O$4:$O$23,F$61))*12),0)</f>
        <v>0</v>
      </c>
      <c r="G74" s="99">
        <f>IF(INDEX($R$4:$R$23,G$61)=$A74,MAX(INDEX($Q$4:$Q$23,G$61)*12,PMT(INDEX($P$4:$P$23,G$61)/12,Assumptions!$B$11,-INDEX($O$4:$O$23,G$61),Assumptions!$B$12*INDEX($O$4:$O$23,G$61))*12),0)</f>
        <v>0</v>
      </c>
      <c r="H74" s="99">
        <f>IF(INDEX($R$4:$R$23,H$61)=$A74,MAX(INDEX($Q$4:$Q$23,H$61)*12,PMT(INDEX($P$4:$P$23,H$61)/12,Assumptions!$B$11,-INDEX($O$4:$O$23,H$61),Assumptions!$B$12*INDEX($O$4:$O$23,H$61))*12),0)</f>
        <v>0</v>
      </c>
      <c r="I74" s="99">
        <f>IF(INDEX($R$4:$R$23,I$61)=$A74,MAX(INDEX($Q$4:$Q$23,I$61)*12,PMT(INDEX($P$4:$P$23,I$61)/12,Assumptions!$B$11,-INDEX($O$4:$O$23,I$61),Assumptions!$B$12*INDEX($O$4:$O$23,I$61))*12),0)</f>
        <v>0</v>
      </c>
      <c r="J74" s="99">
        <f>IF(INDEX($R$4:$R$23,J$61)=$A74,MAX(INDEX($Q$4:$Q$23,J$61)*12,PMT(INDEX($P$4:$P$23,J$61)/12,Assumptions!$B$11,-INDEX($O$4:$O$23,J$61),Assumptions!$B$12*INDEX($O$4:$O$23,J$61))*12),0)</f>
        <v>0</v>
      </c>
      <c r="K74" s="99">
        <f>IF(INDEX($R$4:$R$23,K$61)=$A74,MAX(INDEX($Q$4:$Q$23,K$61)*12,PMT(INDEX($P$4:$P$23,K$61)/12,Assumptions!$B$11,-INDEX($O$4:$O$23,K$61),Assumptions!$B$12*INDEX($O$4:$O$23,K$61))*12),0)</f>
        <v>0</v>
      </c>
      <c r="L74" s="99">
        <f>IF(INDEX($R$4:$R$23,L$61)=$A74,MAX(INDEX($Q$4:$Q$23,L$61)*12,PMT(INDEX($P$4:$P$23,L$61)/12,Assumptions!$B$11,-INDEX($O$4:$O$23,L$61),Assumptions!$B$12*INDEX($O$4:$O$23,L$61))*12),0)</f>
        <v>0</v>
      </c>
      <c r="M74" s="99">
        <f>IF(INDEX($R$4:$R$23,M$61)=$A74,MAX(INDEX($Q$4:$Q$23,M$61)*12,PMT(INDEX($P$4:$P$23,M$61)/12,Assumptions!$B$11,-INDEX($O$4:$O$23,M$61),Assumptions!$B$12*INDEX($O$4:$O$23,M$61))*12),0)</f>
        <v>0</v>
      </c>
      <c r="N74" s="99">
        <f>IF(INDEX($R$4:$R$23,N$61)=$A74,MAX(INDEX($Q$4:$Q$23,N$61)*12,PMT(INDEX($P$4:$P$23,N$61)/12,Assumptions!$B$11,-INDEX($O$4:$O$23,N$61),Assumptions!$B$12*INDEX($O$4:$O$23,N$61))*12),0)</f>
        <v>0</v>
      </c>
      <c r="O74" s="99">
        <f>IF(INDEX($R$4:$R$23,O$61)=$A74,MAX(INDEX($Q$4:$Q$23,O$61)*12,PMT(INDEX($P$4:$P$23,O$61)/12,Assumptions!$B$11,-INDEX($O$4:$O$23,O$61),Assumptions!$B$12*INDEX($O$4:$O$23,O$61))*12),0)</f>
        <v>0</v>
      </c>
      <c r="P74" s="99">
        <f>IF(INDEX($R$4:$R$23,P$61)=$A74,MAX(INDEX($Q$4:$Q$23,P$61)*12,PMT(INDEX($P$4:$P$23,P$61)/12,Assumptions!$B$11,-INDEX($O$4:$O$23,P$61),Assumptions!$B$12*INDEX($O$4:$O$23,P$61))*12),0)</f>
        <v>0</v>
      </c>
      <c r="Q74" s="99">
        <f>IF(INDEX($R$4:$R$23,Q$61)=$A74,MAX(INDEX($Q$4:$Q$23,Q$61)*12,PMT(INDEX($P$4:$P$23,Q$61)/12,Assumptions!$B$11,-INDEX($O$4:$O$23,Q$61),Assumptions!$B$12*INDEX($O$4:$O$23,Q$61))*12),0)</f>
        <v>0</v>
      </c>
      <c r="R74" s="99">
        <f>IF(INDEX($R$4:$R$23,R$61)=$A74,MAX(INDEX($Q$4:$Q$23,R$61)*12,PMT(INDEX($P$4:$P$23,R$61)/12,Assumptions!$B$11,-INDEX($O$4:$O$23,R$61),Assumptions!$B$12*INDEX($O$4:$O$23,R$61))*12),0)</f>
        <v>0</v>
      </c>
      <c r="S74" s="99">
        <f>IF(INDEX($R$4:$R$23,S$61)=$A74,MAX(INDEX($Q$4:$Q$23,S$61)*12,PMT(INDEX($P$4:$P$23,S$61)/12,Assumptions!$B$11,-INDEX($O$4:$O$23,S$61),Assumptions!$B$12*INDEX($O$4:$O$23,S$61))*12),0)</f>
        <v>0</v>
      </c>
      <c r="T74" s="99">
        <f>IF(INDEX($R$4:$R$23,T$61)=$A74,MAX(INDEX($Q$4:$Q$23,T$61)*12,PMT(INDEX($P$4:$P$23,T$61)/12,Assumptions!$B$11,-INDEX($O$4:$O$23,T$61),Assumptions!$B$12*INDEX($O$4:$O$23,T$61))*12),0)</f>
        <v>0</v>
      </c>
      <c r="U74" s="99">
        <f>IF(INDEX($R$4:$R$23,U$61)=$A74,MAX(INDEX($Q$4:$Q$23,U$61)*12,PMT(INDEX($P$4:$P$23,U$61)/12,Assumptions!$B$11,-INDEX($O$4:$O$23,U$61),Assumptions!$B$12*INDEX($O$4:$O$23,U$61))*12),0)</f>
        <v>0</v>
      </c>
    </row>
    <row r="75" spans="1:21" hidden="1" x14ac:dyDescent="0.2">
      <c r="A75" s="3" t="s">
        <v>148</v>
      </c>
      <c r="B75" s="99">
        <f>IF(INDEX($R$4:$R$23,B$61)=$A75,MAX(INDEX($Q$4:$Q$23,B$61)*12,Assumptions!$B$8*12*INDEX($O$4:$O$23,B$61)),0)</f>
        <v>0</v>
      </c>
      <c r="C75" s="99">
        <f>IF(INDEX($R$4:$R$23,C$61)=$A75,MAX(INDEX($Q$4:$Q$23,C$61)*12,Assumptions!$B$8*12*INDEX($O$4:$O$23,C$61)),0)</f>
        <v>0</v>
      </c>
      <c r="D75" s="99">
        <f>IF(INDEX($R$4:$R$23,D$61)=$A75,MAX(INDEX($Q$4:$Q$23,D$61)*12,Assumptions!$B$8*12*INDEX($O$4:$O$23,D$61)),0)</f>
        <v>0</v>
      </c>
      <c r="E75" s="99">
        <f>IF(INDEX($R$4:$R$23,E$61)=$A75,MAX(INDEX($Q$4:$Q$23,E$61)*12,Assumptions!$B$8*12*INDEX($O$4:$O$23,E$61)),0)</f>
        <v>0</v>
      </c>
      <c r="F75" s="99">
        <f>IF(INDEX($R$4:$R$23,F$61)=$A75,MAX(INDEX($Q$4:$Q$23,F$61)*12,Assumptions!$B$8*12*INDEX($O$4:$O$23,F$61)),0)</f>
        <v>0</v>
      </c>
      <c r="G75" s="99">
        <f>IF(INDEX($R$4:$R$23,G$61)=$A75,MAX(INDEX($Q$4:$Q$23,G$61)*12,Assumptions!$B$8*12*INDEX($O$4:$O$23,G$61)),0)</f>
        <v>0</v>
      </c>
      <c r="H75" s="99">
        <f>IF(INDEX($R$4:$R$23,H$61)=$A75,MAX(INDEX($Q$4:$Q$23,H$61)*12,Assumptions!$B$8*12*INDEX($O$4:$O$23,H$61)),0)</f>
        <v>0</v>
      </c>
      <c r="I75" s="99">
        <f>IF(INDEX($R$4:$R$23,I$61)=$A75,MAX(INDEX($Q$4:$Q$23,I$61)*12,Assumptions!$B$8*12*INDEX($O$4:$O$23,I$61)),0)</f>
        <v>0</v>
      </c>
      <c r="J75" s="99">
        <f>IF(INDEX($R$4:$R$23,J$61)=$A75,MAX(INDEX($Q$4:$Q$23,J$61)*12,Assumptions!$B$8*12*INDEX($O$4:$O$23,J$61)),0)</f>
        <v>0</v>
      </c>
      <c r="K75" s="99">
        <f>IF(INDEX($R$4:$R$23,K$61)=$A75,MAX(INDEX($Q$4:$Q$23,K$61)*12,Assumptions!$B$8*12*INDEX($O$4:$O$23,K$61)),0)</f>
        <v>0</v>
      </c>
      <c r="L75" s="99">
        <f>IF(INDEX($R$4:$R$23,L$61)=$A75,MAX(INDEX($Q$4:$Q$23,L$61)*12,Assumptions!$B$8*12*INDEX($O$4:$O$23,L$61)),0)</f>
        <v>0</v>
      </c>
      <c r="M75" s="99">
        <f>IF(INDEX($R$4:$R$23,M$61)=$A75,MAX(INDEX($Q$4:$Q$23,M$61)*12,Assumptions!$B$8*12*INDEX($O$4:$O$23,M$61)),0)</f>
        <v>0</v>
      </c>
      <c r="N75" s="99">
        <f>IF(INDEX($R$4:$R$23,N$61)=$A75,MAX(INDEX($Q$4:$Q$23,N$61)*12,Assumptions!$B$8*12*INDEX($O$4:$O$23,N$61)),0)</f>
        <v>0</v>
      </c>
      <c r="O75" s="99">
        <f>IF(INDEX($R$4:$R$23,O$61)=$A75,MAX(INDEX($Q$4:$Q$23,O$61)*12,Assumptions!$B$8*12*INDEX($O$4:$O$23,O$61)),0)</f>
        <v>0</v>
      </c>
      <c r="P75" s="99">
        <f>IF(INDEX($R$4:$R$23,P$61)=$A75,MAX(INDEX($Q$4:$Q$23,P$61)*12,Assumptions!$B$8*12*INDEX($O$4:$O$23,P$61)),0)</f>
        <v>0</v>
      </c>
      <c r="Q75" s="99">
        <f>IF(INDEX($R$4:$R$23,Q$61)=$A75,MAX(INDEX($Q$4:$Q$23,Q$61)*12,Assumptions!$B$8*12*INDEX($O$4:$O$23,Q$61)),0)</f>
        <v>0</v>
      </c>
      <c r="R75" s="99">
        <f>IF(INDEX($R$4:$R$23,R$61)=$A75,MAX(INDEX($Q$4:$Q$23,R$61)*12,Assumptions!$B$8*12*INDEX($O$4:$O$23,R$61)),0)</f>
        <v>0</v>
      </c>
      <c r="S75" s="99">
        <f>IF(INDEX($R$4:$R$23,S$61)=$A75,MAX(INDEX($Q$4:$Q$23,S$61)*12,Assumptions!$B$8*12*INDEX($O$4:$O$23,S$61)),0)</f>
        <v>0</v>
      </c>
      <c r="T75" s="99">
        <f>IF(INDEX($R$4:$R$23,T$61)=$A75,MAX(INDEX($Q$4:$Q$23,T$61)*12,Assumptions!$B$8*12*INDEX($O$4:$O$23,T$61)),0)</f>
        <v>0</v>
      </c>
      <c r="U75" s="99">
        <f>IF(INDEX($R$4:$R$23,U$61)=$A75,MAX(INDEX($Q$4:$Q$23,U$61)*12,Assumptions!$B$8*12*INDEX($O$4:$O$23,U$61)),0)</f>
        <v>0</v>
      </c>
    </row>
    <row r="76" spans="1:21" hidden="1" x14ac:dyDescent="0.2">
      <c r="A76" s="78" t="s">
        <v>142</v>
      </c>
      <c r="B76" s="99">
        <f>IF(INDEX($R$4:$R$23,B$61)=$A76,MAX(INDEX($Q$4:$Q$23,B$61)*12,Assumptions!$B$8*12*INDEX($O$4:$O$23,B$61)),0)</f>
        <v>0</v>
      </c>
      <c r="C76" s="99">
        <f>IF(INDEX($R$4:$R$23,C$61)=$A76,MAX(INDEX($Q$4:$Q$23,C$61)*12,Assumptions!$B$8*12*INDEX($O$4:$O$23,C$61)),0)</f>
        <v>0</v>
      </c>
      <c r="D76" s="99">
        <f>IF(INDEX($R$4:$R$23,D$61)=$A76,MAX(INDEX($Q$4:$Q$23,D$61)*12,Assumptions!$B$8*12*INDEX($O$4:$O$23,D$61)),0)</f>
        <v>0</v>
      </c>
      <c r="E76" s="99">
        <f>IF(INDEX($R$4:$R$23,E$61)=$A76,MAX(INDEX($Q$4:$Q$23,E$61)*12,Assumptions!$B$8*12*INDEX($O$4:$O$23,E$61)),0)</f>
        <v>0</v>
      </c>
      <c r="F76" s="99">
        <f>IF(INDEX($R$4:$R$23,F$61)=$A76,MAX(INDEX($Q$4:$Q$23,F$61)*12,Assumptions!$B$8*12*INDEX($O$4:$O$23,F$61)),0)</f>
        <v>0</v>
      </c>
      <c r="G76" s="99">
        <f>IF(INDEX($R$4:$R$23,G$61)=$A76,MAX(INDEX($Q$4:$Q$23,G$61)*12,Assumptions!$B$8*12*INDEX($O$4:$O$23,G$61)),0)</f>
        <v>0</v>
      </c>
      <c r="H76" s="99">
        <f>IF(INDEX($R$4:$R$23,H$61)=$A76,MAX(INDEX($Q$4:$Q$23,H$61)*12,Assumptions!$B$8*12*INDEX($O$4:$O$23,H$61)),0)</f>
        <v>0</v>
      </c>
      <c r="I76" s="99">
        <f>IF(INDEX($R$4:$R$23,I$61)=$A76,MAX(INDEX($Q$4:$Q$23,I$61)*12,Assumptions!$B$8*12*INDEX($O$4:$O$23,I$61)),0)</f>
        <v>0</v>
      </c>
      <c r="J76" s="99">
        <f>IF(INDEX($R$4:$R$23,J$61)=$A76,MAX(INDEX($Q$4:$Q$23,J$61)*12,Assumptions!$B$8*12*INDEX($O$4:$O$23,J$61)),0)</f>
        <v>0</v>
      </c>
      <c r="K76" s="99">
        <f>IF(INDEX($R$4:$R$23,K$61)=$A76,MAX(INDEX($Q$4:$Q$23,K$61)*12,Assumptions!$B$8*12*INDEX($O$4:$O$23,K$61)),0)</f>
        <v>0</v>
      </c>
      <c r="L76" s="99">
        <f>IF(INDEX($R$4:$R$23,L$61)=$A76,MAX(INDEX($Q$4:$Q$23,L$61)*12,Assumptions!$B$8*12*INDEX($O$4:$O$23,L$61)),0)</f>
        <v>0</v>
      </c>
      <c r="M76" s="99">
        <f>IF(INDEX($R$4:$R$23,M$61)=$A76,MAX(INDEX($Q$4:$Q$23,M$61)*12,Assumptions!$B$8*12*INDEX($O$4:$O$23,M$61)),0)</f>
        <v>0</v>
      </c>
      <c r="N76" s="99">
        <f>IF(INDEX($R$4:$R$23,N$61)=$A76,MAX(INDEX($Q$4:$Q$23,N$61)*12,Assumptions!$B$8*12*INDEX($O$4:$O$23,N$61)),0)</f>
        <v>0</v>
      </c>
      <c r="O76" s="99">
        <f>IF(INDEX($R$4:$R$23,O$61)=$A76,MAX(INDEX($Q$4:$Q$23,O$61)*12,Assumptions!$B$8*12*INDEX($O$4:$O$23,O$61)),0)</f>
        <v>0</v>
      </c>
      <c r="P76" s="99">
        <f>IF(INDEX($R$4:$R$23,P$61)=$A76,MAX(INDEX($Q$4:$Q$23,P$61)*12,Assumptions!$B$8*12*INDEX($O$4:$O$23,P$61)),0)</f>
        <v>0</v>
      </c>
      <c r="Q76" s="99">
        <f>IF(INDEX($R$4:$R$23,Q$61)=$A76,MAX(INDEX($Q$4:$Q$23,Q$61)*12,Assumptions!$B$8*12*INDEX($O$4:$O$23,Q$61)),0)</f>
        <v>0</v>
      </c>
      <c r="R76" s="99">
        <f>IF(INDEX($R$4:$R$23,R$61)=$A76,MAX(INDEX($Q$4:$Q$23,R$61)*12,Assumptions!$B$8*12*INDEX($O$4:$O$23,R$61)),0)</f>
        <v>0</v>
      </c>
      <c r="S76" s="99">
        <f>IF(INDEX($R$4:$R$23,S$61)=$A76,MAX(INDEX($Q$4:$Q$23,S$61)*12,Assumptions!$B$8*12*INDEX($O$4:$O$23,S$61)),0)</f>
        <v>0</v>
      </c>
      <c r="T76" s="99">
        <f>IF(INDEX($R$4:$R$23,T$61)=$A76,MAX(INDEX($Q$4:$Q$23,T$61)*12,Assumptions!$B$8*12*INDEX($O$4:$O$23,T$61)),0)</f>
        <v>0</v>
      </c>
      <c r="U76" s="99">
        <f>IF(INDEX($R$4:$R$23,U$61)=$A76,MAX(INDEX($Q$4:$Q$23,U$61)*12,Assumptions!$B$8*12*INDEX($O$4:$O$23,U$61)),0)</f>
        <v>0</v>
      </c>
    </row>
    <row r="77" spans="1:21" hidden="1" x14ac:dyDescent="0.2">
      <c r="A77" s="3" t="s">
        <v>156</v>
      </c>
      <c r="B77" s="99">
        <f>IF(INDEX($R$4:$R$23,B$61)=$A77,MAX(INDEX($Q$4:$Q$23,B$61)*12,PMT(INDEX($P$4:$P$23,B$61)/12,Assumptions!$B$10,-INDEX($O$4:$O$23,B$61))*12),0)</f>
        <v>0</v>
      </c>
      <c r="C77" s="99">
        <f>IF(INDEX($R$4:$R$23,C$61)=$A77,MAX(INDEX($Q$4:$Q$23,C$61)*12,PMT(INDEX($P$4:$P$23,C$61)/12,Assumptions!$B$10,-INDEX($O$4:$O$23,C$61))*12),0)</f>
        <v>0</v>
      </c>
      <c r="D77" s="99">
        <f>IF(INDEX($R$4:$R$23,D$61)=$A77,MAX(INDEX($Q$4:$Q$23,D$61)*12,PMT(INDEX($P$4:$P$23,D$61)/12,Assumptions!$B$10,-INDEX($O$4:$O$23,D$61))*12),0)</f>
        <v>0</v>
      </c>
      <c r="E77" s="99">
        <f>IF(INDEX($R$4:$R$23,E$61)=$A77,MAX(INDEX($Q$4:$Q$23,E$61)*12,PMT(INDEX($P$4:$P$23,E$61)/12,Assumptions!$B$10,-INDEX($O$4:$O$23,E$61))*12),0)</f>
        <v>0</v>
      </c>
      <c r="F77" s="99">
        <f>IF(INDEX($R$4:$R$23,F$61)=$A77,MAX(INDEX($Q$4:$Q$23,F$61)*12,PMT(INDEX($P$4:$P$23,F$61)/12,Assumptions!$B$10,-INDEX($O$4:$O$23,F$61))*12),0)</f>
        <v>0</v>
      </c>
      <c r="G77" s="99">
        <f>IF(INDEX($R$4:$R$23,G$61)=$A77,MAX(INDEX($Q$4:$Q$23,G$61)*12,PMT(INDEX($P$4:$P$23,G$61)/12,Assumptions!$B$10,-INDEX($O$4:$O$23,G$61))*12),0)</f>
        <v>0</v>
      </c>
      <c r="H77" s="99">
        <f>IF(INDEX($R$4:$R$23,H$61)=$A77,MAX(INDEX($Q$4:$Q$23,H$61)*12,PMT(INDEX($P$4:$P$23,H$61)/12,Assumptions!$B$10,-INDEX($O$4:$O$23,H$61))*12),0)</f>
        <v>0</v>
      </c>
      <c r="I77" s="99">
        <f>IF(INDEX($R$4:$R$23,I$61)=$A77,MAX(INDEX($Q$4:$Q$23,I$61)*12,PMT(INDEX($P$4:$P$23,I$61)/12,Assumptions!$B$10,-INDEX($O$4:$O$23,I$61))*12),0)</f>
        <v>0</v>
      </c>
      <c r="J77" s="99">
        <f>IF(INDEX($R$4:$R$23,J$61)=$A77,MAX(INDEX($Q$4:$Q$23,J$61)*12,PMT(INDEX($P$4:$P$23,J$61)/12,Assumptions!$B$10,-INDEX($O$4:$O$23,J$61))*12),0)</f>
        <v>0</v>
      </c>
      <c r="K77" s="99">
        <f>IF(INDEX($R$4:$R$23,K$61)=$A77,MAX(INDEX($Q$4:$Q$23,K$61)*12,PMT(INDEX($P$4:$P$23,K$61)/12,Assumptions!$B$10,-INDEX($O$4:$O$23,K$61))*12),0)</f>
        <v>0</v>
      </c>
      <c r="L77" s="99">
        <f>IF(INDEX($R$4:$R$23,L$61)=$A77,MAX(INDEX($Q$4:$Q$23,L$61)*12,PMT(INDEX($P$4:$P$23,L$61)/12,Assumptions!$B$10,-INDEX($O$4:$O$23,L$61))*12),0)</f>
        <v>0</v>
      </c>
      <c r="M77" s="99">
        <f>IF(INDEX($R$4:$R$23,M$61)=$A77,MAX(INDEX($Q$4:$Q$23,M$61)*12,PMT(INDEX($P$4:$P$23,M$61)/12,Assumptions!$B$10,-INDEX($O$4:$O$23,M$61))*12),0)</f>
        <v>0</v>
      </c>
      <c r="N77" s="99">
        <f>IF(INDEX($R$4:$R$23,N$61)=$A77,MAX(INDEX($Q$4:$Q$23,N$61)*12,PMT(INDEX($P$4:$P$23,N$61)/12,Assumptions!$B$10,-INDEX($O$4:$O$23,N$61))*12),0)</f>
        <v>0</v>
      </c>
      <c r="O77" s="99">
        <f>IF(INDEX($R$4:$R$23,O$61)=$A77,MAX(INDEX($Q$4:$Q$23,O$61)*12,PMT(INDEX($P$4:$P$23,O$61)/12,Assumptions!$B$10,-INDEX($O$4:$O$23,O$61))*12),0)</f>
        <v>0</v>
      </c>
      <c r="P77" s="99">
        <f>IF(INDEX($R$4:$R$23,P$61)=$A77,MAX(INDEX($Q$4:$Q$23,P$61)*12,PMT(INDEX($P$4:$P$23,P$61)/12,Assumptions!$B$10,-INDEX($O$4:$O$23,P$61))*12),0)</f>
        <v>0</v>
      </c>
      <c r="Q77" s="99">
        <f>IF(INDEX($R$4:$R$23,Q$61)=$A77,MAX(INDEX($Q$4:$Q$23,Q$61)*12,PMT(INDEX($P$4:$P$23,Q$61)/12,Assumptions!$B$10,-INDEX($O$4:$O$23,Q$61))*12),0)</f>
        <v>0</v>
      </c>
      <c r="R77" s="99">
        <f>IF(INDEX($R$4:$R$23,R$61)=$A77,MAX(INDEX($Q$4:$Q$23,R$61)*12,PMT(INDEX($P$4:$P$23,R$61)/12,Assumptions!$B$10,-INDEX($O$4:$O$23,R$61))*12),0)</f>
        <v>0</v>
      </c>
      <c r="S77" s="99">
        <f>IF(INDEX($R$4:$R$23,S$61)=$A77,MAX(INDEX($Q$4:$Q$23,S$61)*12,PMT(INDEX($P$4:$P$23,S$61)/12,Assumptions!$B$10,-INDEX($O$4:$O$23,S$61))*12),0)</f>
        <v>0</v>
      </c>
      <c r="T77" s="99">
        <f>IF(INDEX($R$4:$R$23,T$61)=$A77,MAX(INDEX($Q$4:$Q$23,T$61)*12,PMT(INDEX($P$4:$P$23,T$61)/12,Assumptions!$B$10,-INDEX($O$4:$O$23,T$61))*12),0)</f>
        <v>0</v>
      </c>
      <c r="U77" s="99">
        <f>IF(INDEX($R$4:$R$23,U$61)=$A77,MAX(INDEX($Q$4:$Q$23,U$61)*12,PMT(INDEX($P$4:$P$23,U$61)/12,Assumptions!$B$10,-INDEX($O$4:$O$23,U$61))*12),0)</f>
        <v>0</v>
      </c>
    </row>
    <row r="78" spans="1:21" hidden="1" x14ac:dyDescent="0.2">
      <c r="A78" s="3" t="s">
        <v>158</v>
      </c>
      <c r="B78" s="99">
        <f>IF(INDEX($R$4:$R$23,B$61)=$A78,MAX(INDEX($Q$4:$Q$23,B$61)*12,PMT(INDEX($P$4:$P$23,B$61)/12,Assumptions!$B$10,-INDEX($O$4:$O$23,B$61))*12),0)</f>
        <v>0</v>
      </c>
      <c r="C78" s="99">
        <f>IF(INDEX($R$4:$R$23,C$61)=$A78,MAX(INDEX($Q$4:$Q$23,C$61)*12,PMT(INDEX($P$4:$P$23,C$61)/12,Assumptions!$B$10,-INDEX($O$4:$O$23,C$61))*12),0)</f>
        <v>0</v>
      </c>
      <c r="D78" s="99">
        <f>IF(INDEX($R$4:$R$23,D$61)=$A78,MAX(INDEX($Q$4:$Q$23,D$61)*12,PMT(INDEX($P$4:$P$23,D$61)/12,Assumptions!$B$10,-INDEX($O$4:$O$23,D$61))*12),0)</f>
        <v>0</v>
      </c>
      <c r="E78" s="99">
        <f>IF(INDEX($R$4:$R$23,E$61)=$A78,MAX(INDEX($Q$4:$Q$23,E$61)*12,PMT(INDEX($P$4:$P$23,E$61)/12,Assumptions!$B$10,-INDEX($O$4:$O$23,E$61))*12),0)</f>
        <v>0</v>
      </c>
      <c r="F78" s="99">
        <f>IF(INDEX($R$4:$R$23,F$61)=$A78,MAX(INDEX($Q$4:$Q$23,F$61)*12,PMT(INDEX($P$4:$P$23,F$61)/12,Assumptions!$B$10,-INDEX($O$4:$O$23,F$61))*12),0)</f>
        <v>0</v>
      </c>
      <c r="G78" s="99">
        <f>IF(INDEX($R$4:$R$23,G$61)=$A78,MAX(INDEX($Q$4:$Q$23,G$61)*12,PMT(INDEX($P$4:$P$23,G$61)/12,Assumptions!$B$10,-INDEX($O$4:$O$23,G$61))*12),0)</f>
        <v>0</v>
      </c>
      <c r="H78" s="99">
        <f>IF(INDEX($R$4:$R$23,H$61)=$A78,MAX(INDEX($Q$4:$Q$23,H$61)*12,PMT(INDEX($P$4:$P$23,H$61)/12,Assumptions!$B$10,-INDEX($O$4:$O$23,H$61))*12),0)</f>
        <v>0</v>
      </c>
      <c r="I78" s="99">
        <f>IF(INDEX($R$4:$R$23,I$61)=$A78,MAX(INDEX($Q$4:$Q$23,I$61)*12,PMT(INDEX($P$4:$P$23,I$61)/12,Assumptions!$B$10,-INDEX($O$4:$O$23,I$61))*12),0)</f>
        <v>0</v>
      </c>
      <c r="J78" s="99">
        <f>IF(INDEX($R$4:$R$23,J$61)=$A78,MAX(INDEX($Q$4:$Q$23,J$61)*12,PMT(INDEX($P$4:$P$23,J$61)/12,Assumptions!$B$10,-INDEX($O$4:$O$23,J$61))*12),0)</f>
        <v>0</v>
      </c>
      <c r="K78" s="99">
        <f>IF(INDEX($R$4:$R$23,K$61)=$A78,MAX(INDEX($Q$4:$Q$23,K$61)*12,PMT(INDEX($P$4:$P$23,K$61)/12,Assumptions!$B$10,-INDEX($O$4:$O$23,K$61))*12),0)</f>
        <v>0</v>
      </c>
      <c r="L78" s="99">
        <f>IF(INDEX($R$4:$R$23,L$61)=$A78,MAX(INDEX($Q$4:$Q$23,L$61)*12,PMT(INDEX($P$4:$P$23,L$61)/12,Assumptions!$B$10,-INDEX($O$4:$O$23,L$61))*12),0)</f>
        <v>0</v>
      </c>
      <c r="M78" s="99">
        <f>IF(INDEX($R$4:$R$23,M$61)=$A78,MAX(INDEX($Q$4:$Q$23,M$61)*12,PMT(INDEX($P$4:$P$23,M$61)/12,Assumptions!$B$10,-INDEX($O$4:$O$23,M$61))*12),0)</f>
        <v>0</v>
      </c>
      <c r="N78" s="99">
        <f>IF(INDEX($R$4:$R$23,N$61)=$A78,MAX(INDEX($Q$4:$Q$23,N$61)*12,PMT(INDEX($P$4:$P$23,N$61)/12,Assumptions!$B$10,-INDEX($O$4:$O$23,N$61))*12),0)</f>
        <v>0</v>
      </c>
      <c r="O78" s="99">
        <f>IF(INDEX($R$4:$R$23,O$61)=$A78,MAX(INDEX($Q$4:$Q$23,O$61)*12,PMT(INDEX($P$4:$P$23,O$61)/12,Assumptions!$B$10,-INDEX($O$4:$O$23,O$61))*12),0)</f>
        <v>0</v>
      </c>
      <c r="P78" s="99">
        <f>IF(INDEX($R$4:$R$23,P$61)=$A78,MAX(INDEX($Q$4:$Q$23,P$61)*12,PMT(INDEX($P$4:$P$23,P$61)/12,Assumptions!$B$10,-INDEX($O$4:$O$23,P$61))*12),0)</f>
        <v>0</v>
      </c>
      <c r="Q78" s="99">
        <f>IF(INDEX($R$4:$R$23,Q$61)=$A78,MAX(INDEX($Q$4:$Q$23,Q$61)*12,PMT(INDEX($P$4:$P$23,Q$61)/12,Assumptions!$B$10,-INDEX($O$4:$O$23,Q$61))*12),0)</f>
        <v>0</v>
      </c>
      <c r="R78" s="99">
        <f>IF(INDEX($R$4:$R$23,R$61)=$A78,MAX(INDEX($Q$4:$Q$23,R$61)*12,PMT(INDEX($P$4:$P$23,R$61)/12,Assumptions!$B$10,-INDEX($O$4:$O$23,R$61))*12),0)</f>
        <v>0</v>
      </c>
      <c r="S78" s="99">
        <f>IF(INDEX($R$4:$R$23,S$61)=$A78,MAX(INDEX($Q$4:$Q$23,S$61)*12,PMT(INDEX($P$4:$P$23,S$61)/12,Assumptions!$B$10,-INDEX($O$4:$O$23,S$61))*12),0)</f>
        <v>0</v>
      </c>
      <c r="T78" s="99">
        <f>IF(INDEX($R$4:$R$23,T$61)=$A78,MAX(INDEX($Q$4:$Q$23,T$61)*12,PMT(INDEX($P$4:$P$23,T$61)/12,Assumptions!$B$10,-INDEX($O$4:$O$23,T$61))*12),0)</f>
        <v>0</v>
      </c>
      <c r="U78" s="99">
        <f>IF(INDEX($R$4:$R$23,U$61)=$A78,MAX(INDEX($Q$4:$Q$23,U$61)*12,PMT(INDEX($P$4:$P$23,U$61)/12,Assumptions!$B$10,-INDEX($O$4:$O$23,U$61))*12),0)</f>
        <v>0</v>
      </c>
    </row>
    <row r="79" spans="1:21" hidden="1" x14ac:dyDescent="0.2">
      <c r="A79" s="78" t="s">
        <v>133</v>
      </c>
      <c r="B79" s="99">
        <f>IF(B69=0,0,B69+INDEX($O$4:$O$23,B$61)*Assumptions!$B$4)</f>
        <v>0</v>
      </c>
      <c r="C79" s="99">
        <f>IF(C69=0,0,C69+INDEX($O$4:$O$23,C$61)*Assumptions!$B$4)</f>
        <v>0</v>
      </c>
      <c r="D79" s="99">
        <f>IF(D69=0,0,D69+INDEX($O$4:$O$23,D$61)*Assumptions!$B$4)</f>
        <v>0</v>
      </c>
      <c r="E79" s="99">
        <f>IF(E69=0,0,E69+INDEX($O$4:$O$23,E$61)*Assumptions!$B$4)</f>
        <v>0</v>
      </c>
      <c r="F79" s="99">
        <f>IF(F69=0,0,F69+INDEX($O$4:$O$23,F$61)*Assumptions!$B$4)</f>
        <v>0</v>
      </c>
      <c r="G79" s="99">
        <f>IF(G69=0,0,G69+INDEX($O$4:$O$23,G$61)*Assumptions!$B$4)</f>
        <v>0</v>
      </c>
      <c r="H79" s="99">
        <f>IF(H69=0,0,H69+INDEX($O$4:$O$23,H$61)*Assumptions!$B$4)</f>
        <v>0</v>
      </c>
      <c r="I79" s="99">
        <f>IF(I69=0,0,I69+INDEX($O$4:$O$23,I$61)*Assumptions!$B$4)</f>
        <v>0</v>
      </c>
      <c r="J79" s="99">
        <f>IF(J69=0,0,J69+INDEX($O$4:$O$23,J$61)*Assumptions!$B$4)</f>
        <v>0</v>
      </c>
      <c r="K79" s="99">
        <f>IF(K69=0,0,K69+INDEX($O$4:$O$23,K$61)*Assumptions!$B$4)</f>
        <v>0</v>
      </c>
      <c r="L79" s="99">
        <f>IF(L69=0,0,L69+INDEX($O$4:$O$23,L$61)*Assumptions!$B$4)</f>
        <v>0</v>
      </c>
      <c r="M79" s="99">
        <f>IF(M69=0,0,M69+INDEX($O$4:$O$23,M$61)*Assumptions!$B$4)</f>
        <v>0</v>
      </c>
      <c r="N79" s="99">
        <f>IF(N69=0,0,N69+INDEX($O$4:$O$23,N$61)*Assumptions!$B$4)</f>
        <v>0</v>
      </c>
      <c r="O79" s="99">
        <f>IF(O69=0,0,O69+INDEX($O$4:$O$23,O$61)*Assumptions!$B$4)</f>
        <v>0</v>
      </c>
      <c r="P79" s="99">
        <f>IF(P69=0,0,P69+INDEX($O$4:$O$23,P$61)*Assumptions!$B$4)</f>
        <v>0</v>
      </c>
      <c r="Q79" s="99">
        <f>IF(Q69=0,0,Q69+INDEX($O$4:$O$23,Q$61)*Assumptions!$B$4)</f>
        <v>0</v>
      </c>
      <c r="R79" s="99">
        <f>IF(R69=0,0,R69+INDEX($O$4:$O$23,R$61)*Assumptions!$B$4)</f>
        <v>0</v>
      </c>
      <c r="S79" s="99">
        <f>IF(S69=0,0,S69+INDEX($O$4:$O$23,S$61)*Assumptions!$B$4)</f>
        <v>0</v>
      </c>
      <c r="T79" s="99">
        <f>IF(T69=0,0,T69+INDEX($O$4:$O$23,T$61)*Assumptions!$B$4)</f>
        <v>0</v>
      </c>
      <c r="U79" s="99">
        <f>IF(U69=0,0,U69+INDEX($O$4:$O$23,U$61)*Assumptions!$B$4)</f>
        <v>0</v>
      </c>
    </row>
    <row r="80" spans="1:21" s="252" customFormat="1" hidden="1" x14ac:dyDescent="0.2">
      <c r="A80" s="250" t="s">
        <v>115</v>
      </c>
      <c r="B80" s="251">
        <f>IF(B70=0,0,B70+INDEX($O$4:$O$23,B$61)*Assumptions!$B$4)</f>
        <v>0</v>
      </c>
      <c r="C80" s="251">
        <f>IF(C70=0,0,C70+INDEX($O$4:$O$23,C$61)*Assumptions!$B$4)</f>
        <v>0</v>
      </c>
      <c r="D80" s="251">
        <f>IF(D70=0,0,D70+INDEX($O$4:$O$23,D$61)*Assumptions!$B$4)</f>
        <v>0</v>
      </c>
      <c r="E80" s="251">
        <f>IF(E70=0,0,E70+INDEX($O$4:$O$23,E$61)*Assumptions!$B$4)</f>
        <v>0</v>
      </c>
      <c r="F80" s="251">
        <f>IF(F70=0,0,F70+INDEX($O$4:$O$23,F$61)*Assumptions!$B$4)</f>
        <v>0</v>
      </c>
      <c r="G80" s="251">
        <f>IF(G70=0,0,G70+INDEX($O$4:$O$23,G$61)*Assumptions!$B$4)</f>
        <v>0</v>
      </c>
      <c r="H80" s="251">
        <f>IF(H70=0,0,H70+INDEX($O$4:$O$23,H$61)*Assumptions!$B$4)</f>
        <v>0</v>
      </c>
      <c r="I80" s="251">
        <f>IF(I70=0,0,I70+INDEX($O$4:$O$23,I$61)*Assumptions!$B$4)</f>
        <v>0</v>
      </c>
      <c r="J80" s="251">
        <f>IF(J70=0,0,J70+INDEX($O$4:$O$23,J$61)*Assumptions!$B$4)</f>
        <v>0</v>
      </c>
      <c r="K80" s="251">
        <f>IF(K70=0,0,K70+INDEX($O$4:$O$23,K$61)*Assumptions!$B$4)</f>
        <v>0</v>
      </c>
      <c r="L80" s="251">
        <f>IF(L70=0,0,L70+INDEX($O$4:$O$23,L$61)*Assumptions!$B$4)</f>
        <v>0</v>
      </c>
      <c r="M80" s="251">
        <f>IF(M70=0,0,M70+INDEX($O$4:$O$23,M$61)*Assumptions!$B$4)</f>
        <v>0</v>
      </c>
      <c r="N80" s="251">
        <f>IF(N70=0,0,N70+INDEX($O$4:$O$23,N$61)*Assumptions!$B$4)</f>
        <v>0</v>
      </c>
      <c r="O80" s="251">
        <f>IF(O70=0,0,O70+INDEX($O$4:$O$23,O$61)*Assumptions!$B$4)</f>
        <v>0</v>
      </c>
      <c r="P80" s="251">
        <f>IF(P70=0,0,P70+INDEX($O$4:$O$23,P$61)*Assumptions!$B$4)</f>
        <v>0</v>
      </c>
      <c r="Q80" s="251">
        <f>IF(Q70=0,0,Q70+INDEX($O$4:$O$23,Q$61)*Assumptions!$B$4)</f>
        <v>0</v>
      </c>
      <c r="R80" s="251">
        <f>IF(R70=0,0,R70+INDEX($O$4:$O$23,R$61)*Assumptions!$B$4)</f>
        <v>0</v>
      </c>
      <c r="S80" s="251">
        <f>IF(S70=0,0,S70+INDEX($O$4:$O$23,S$61)*Assumptions!$B$4)</f>
        <v>0</v>
      </c>
      <c r="T80" s="251">
        <f>IF(T70=0,0,T70+INDEX($O$4:$O$23,T$61)*Assumptions!$B$4)</f>
        <v>0</v>
      </c>
      <c r="U80" s="251">
        <f>IF(U70=0,0,U70+INDEX($O$4:$O$23,U$61)*Assumptions!$B$4)</f>
        <v>0</v>
      </c>
    </row>
    <row r="81" spans="1:21" hidden="1" x14ac:dyDescent="0.2">
      <c r="A81" s="3" t="s">
        <v>135</v>
      </c>
      <c r="B81" s="99">
        <f>IF(B71=0,0,B71+INDEX($O$4:$O$23,B$61)*Assumptions!$E$4)</f>
        <v>0</v>
      </c>
      <c r="C81" s="99">
        <f>IF(C71=0,0,C71+INDEX($O$4:$O$23,C$61)*Assumptions!$E$4)</f>
        <v>0</v>
      </c>
      <c r="D81" s="99">
        <f>IF(D71=0,0,D71+INDEX($O$4:$O$23,D$61)*Assumptions!$E$4)</f>
        <v>0</v>
      </c>
      <c r="E81" s="99">
        <f>IF(E71=0,0,E71+INDEX($O$4:$O$23,E$61)*Assumptions!$E$4)</f>
        <v>0</v>
      </c>
      <c r="F81" s="99">
        <f>IF(F71=0,0,F71+INDEX($O$4:$O$23,F$61)*Assumptions!$E$4)</f>
        <v>0</v>
      </c>
      <c r="G81" s="99">
        <f>IF(G71=0,0,G71+INDEX($O$4:$O$23,G$61)*Assumptions!$E$4)</f>
        <v>0</v>
      </c>
      <c r="H81" s="99">
        <f>IF(H71=0,0,H71+INDEX($O$4:$O$23,H$61)*Assumptions!$E$4)</f>
        <v>0</v>
      </c>
      <c r="I81" s="99">
        <f>IF(I71=0,0,I71+INDEX($O$4:$O$23,I$61)*Assumptions!$E$4)</f>
        <v>0</v>
      </c>
      <c r="J81" s="99">
        <f>IF(J71=0,0,J71+INDEX($O$4:$O$23,J$61)*Assumptions!$E$4)</f>
        <v>0</v>
      </c>
      <c r="K81" s="99">
        <f>IF(K71=0,0,K71+INDEX($O$4:$O$23,K$61)*Assumptions!$E$4)</f>
        <v>0</v>
      </c>
      <c r="L81" s="99">
        <f>IF(L71=0,0,L71+INDEX($O$4:$O$23,L$61)*Assumptions!$E$4)</f>
        <v>0</v>
      </c>
      <c r="M81" s="99">
        <f>IF(M71=0,0,M71+INDEX($O$4:$O$23,M$61)*Assumptions!$E$4)</f>
        <v>0</v>
      </c>
      <c r="N81" s="99">
        <f>IF(N71=0,0,N71+INDEX($O$4:$O$23,N$61)*Assumptions!$E$4)</f>
        <v>0</v>
      </c>
      <c r="O81" s="99">
        <f>IF(O71=0,0,O71+INDEX($O$4:$O$23,O$61)*Assumptions!$E$4)</f>
        <v>0</v>
      </c>
      <c r="P81" s="99">
        <f>IF(P71=0,0,P71+INDEX($O$4:$O$23,P$61)*Assumptions!$E$4)</f>
        <v>0</v>
      </c>
      <c r="Q81" s="99">
        <f>IF(Q71=0,0,Q71+INDEX($O$4:$O$23,Q$61)*Assumptions!$E$4)</f>
        <v>0</v>
      </c>
      <c r="R81" s="99">
        <f>IF(R71=0,0,R71+INDEX($O$4:$O$23,R$61)*Assumptions!$E$4)</f>
        <v>0</v>
      </c>
      <c r="S81" s="99">
        <f>IF(S71=0,0,S71+INDEX($O$4:$O$23,S$61)*Assumptions!$E$4)</f>
        <v>0</v>
      </c>
      <c r="T81" s="99">
        <f>IF(T71=0,0,T71+INDEX($O$4:$O$23,T$61)*Assumptions!$E$4)</f>
        <v>0</v>
      </c>
      <c r="U81" s="99">
        <f>IF(U71=0,0,U71+INDEX($O$4:$O$23,U$61)*Assumptions!$E$4)</f>
        <v>0</v>
      </c>
    </row>
    <row r="82" spans="1:21" hidden="1" x14ac:dyDescent="0.2">
      <c r="A82" s="3" t="s">
        <v>141</v>
      </c>
      <c r="B82" s="99">
        <f>IF(B72=0,0,B72+INDEX($O$4:$O$23,B$61)*Assumptions!$E$4)</f>
        <v>0</v>
      </c>
      <c r="C82" s="99">
        <f>IF(C72=0,0,C72+INDEX($O$4:$O$23,C$61)*Assumptions!$E$4)</f>
        <v>0</v>
      </c>
      <c r="D82" s="99">
        <f>IF(D72=0,0,D72+INDEX($O$4:$O$23,D$61)*Assumptions!$E$4)</f>
        <v>0</v>
      </c>
      <c r="E82" s="99">
        <f>IF(E72=0,0,E72+INDEX($O$4:$O$23,E$61)*Assumptions!$E$4)</f>
        <v>0</v>
      </c>
      <c r="F82" s="99">
        <f>IF(F72=0,0,F72+INDEX($O$4:$O$23,F$61)*Assumptions!$E$4)</f>
        <v>0</v>
      </c>
      <c r="G82" s="99">
        <f>IF(G72=0,0,G72+INDEX($O$4:$O$23,G$61)*Assumptions!$E$4)</f>
        <v>0</v>
      </c>
      <c r="H82" s="99">
        <f>IF(H72=0,0,H72+INDEX($O$4:$O$23,H$61)*Assumptions!$E$4)</f>
        <v>0</v>
      </c>
      <c r="I82" s="99">
        <f>IF(I72=0,0,I72+INDEX($O$4:$O$23,I$61)*Assumptions!$E$4)</f>
        <v>0</v>
      </c>
      <c r="J82" s="99">
        <f>IF(J72=0,0,J72+INDEX($O$4:$O$23,J$61)*Assumptions!$E$4)</f>
        <v>0</v>
      </c>
      <c r="K82" s="99">
        <f>IF(K72=0,0,K72+INDEX($O$4:$O$23,K$61)*Assumptions!$E$4)</f>
        <v>0</v>
      </c>
      <c r="L82" s="99">
        <f>IF(L72=0,0,L72+INDEX($O$4:$O$23,L$61)*Assumptions!$E$4)</f>
        <v>0</v>
      </c>
      <c r="M82" s="99">
        <f>IF(M72=0,0,M72+INDEX($O$4:$O$23,M$61)*Assumptions!$E$4)</f>
        <v>0</v>
      </c>
      <c r="N82" s="99">
        <f>IF(N72=0,0,N72+INDEX($O$4:$O$23,N$61)*Assumptions!$E$4)</f>
        <v>0</v>
      </c>
      <c r="O82" s="99">
        <f>IF(O72=0,0,O72+INDEX($O$4:$O$23,O$61)*Assumptions!$E$4)</f>
        <v>0</v>
      </c>
      <c r="P82" s="99">
        <f>IF(P72=0,0,P72+INDEX($O$4:$O$23,P$61)*Assumptions!$E$4)</f>
        <v>0</v>
      </c>
      <c r="Q82" s="99">
        <f>IF(Q72=0,0,Q72+INDEX($O$4:$O$23,Q$61)*Assumptions!$E$4)</f>
        <v>0</v>
      </c>
      <c r="R82" s="99">
        <f>IF(R72=0,0,R72+INDEX($O$4:$O$23,R$61)*Assumptions!$E$4)</f>
        <v>0</v>
      </c>
      <c r="S82" s="99">
        <f>IF(S72=0,0,S72+INDEX($O$4:$O$23,S$61)*Assumptions!$E$4)</f>
        <v>0</v>
      </c>
      <c r="T82" s="99">
        <f>IF(T72=0,0,T72+INDEX($O$4:$O$23,T$61)*Assumptions!$E$4)</f>
        <v>0</v>
      </c>
      <c r="U82" s="99">
        <f>IF(U72=0,0,U72+INDEX($O$4:$O$23,U$61)*Assumptions!$E$4)</f>
        <v>0</v>
      </c>
    </row>
    <row r="83" spans="1:21" hidden="1" x14ac:dyDescent="0.2">
      <c r="A83" s="3" t="s">
        <v>144</v>
      </c>
      <c r="B83" s="99">
        <f t="shared" ref="B83:U84" si="24">B73</f>
        <v>0</v>
      </c>
      <c r="C83" s="99">
        <f t="shared" si="24"/>
        <v>0</v>
      </c>
      <c r="D83" s="99">
        <f t="shared" si="24"/>
        <v>0</v>
      </c>
      <c r="E83" s="99">
        <f t="shared" si="24"/>
        <v>0</v>
      </c>
      <c r="F83" s="99">
        <f t="shared" si="24"/>
        <v>0</v>
      </c>
      <c r="G83" s="99">
        <f t="shared" si="24"/>
        <v>0</v>
      </c>
      <c r="H83" s="99">
        <f t="shared" si="24"/>
        <v>0</v>
      </c>
      <c r="I83" s="99">
        <f t="shared" si="24"/>
        <v>0</v>
      </c>
      <c r="J83" s="99">
        <f t="shared" si="24"/>
        <v>0</v>
      </c>
      <c r="K83" s="99">
        <f t="shared" si="24"/>
        <v>0</v>
      </c>
      <c r="L83" s="99">
        <f t="shared" si="24"/>
        <v>0</v>
      </c>
      <c r="M83" s="99">
        <f t="shared" si="24"/>
        <v>0</v>
      </c>
      <c r="N83" s="99">
        <f t="shared" si="24"/>
        <v>0</v>
      </c>
      <c r="O83" s="99">
        <f t="shared" si="24"/>
        <v>0</v>
      </c>
      <c r="P83" s="99">
        <f t="shared" si="24"/>
        <v>0</v>
      </c>
      <c r="Q83" s="99">
        <f t="shared" si="24"/>
        <v>0</v>
      </c>
      <c r="R83" s="99">
        <f t="shared" si="24"/>
        <v>0</v>
      </c>
      <c r="S83" s="99">
        <f t="shared" si="24"/>
        <v>0</v>
      </c>
      <c r="T83" s="99">
        <f t="shared" si="24"/>
        <v>0</v>
      </c>
      <c r="U83" s="99">
        <f t="shared" si="24"/>
        <v>0</v>
      </c>
    </row>
    <row r="84" spans="1:21" hidden="1" x14ac:dyDescent="0.2">
      <c r="A84" s="78" t="s">
        <v>138</v>
      </c>
      <c r="B84" s="99">
        <f t="shared" si="24"/>
        <v>0</v>
      </c>
      <c r="C84" s="99">
        <f t="shared" si="24"/>
        <v>0</v>
      </c>
      <c r="D84" s="99">
        <f t="shared" si="24"/>
        <v>0</v>
      </c>
      <c r="E84" s="99">
        <f t="shared" si="24"/>
        <v>0</v>
      </c>
      <c r="F84" s="99">
        <f t="shared" si="24"/>
        <v>0</v>
      </c>
      <c r="G84" s="99">
        <f t="shared" si="24"/>
        <v>0</v>
      </c>
      <c r="H84" s="99">
        <f t="shared" si="24"/>
        <v>0</v>
      </c>
      <c r="I84" s="99">
        <f t="shared" si="24"/>
        <v>0</v>
      </c>
      <c r="J84" s="99">
        <f t="shared" si="24"/>
        <v>0</v>
      </c>
      <c r="K84" s="99">
        <f t="shared" si="24"/>
        <v>0</v>
      </c>
      <c r="L84" s="99">
        <f t="shared" si="24"/>
        <v>0</v>
      </c>
      <c r="M84" s="99">
        <f t="shared" si="24"/>
        <v>0</v>
      </c>
      <c r="N84" s="99">
        <f t="shared" si="24"/>
        <v>0</v>
      </c>
      <c r="O84" s="99">
        <f t="shared" si="24"/>
        <v>0</v>
      </c>
      <c r="P84" s="99">
        <f t="shared" si="24"/>
        <v>0</v>
      </c>
      <c r="Q84" s="99">
        <f t="shared" si="24"/>
        <v>0</v>
      </c>
      <c r="R84" s="99">
        <f t="shared" si="24"/>
        <v>0</v>
      </c>
      <c r="S84" s="99">
        <f t="shared" si="24"/>
        <v>0</v>
      </c>
      <c r="T84" s="99">
        <f t="shared" si="24"/>
        <v>0</v>
      </c>
      <c r="U84" s="99">
        <f t="shared" si="24"/>
        <v>0</v>
      </c>
    </row>
    <row r="85" spans="1:21" hidden="1" x14ac:dyDescent="0.2">
      <c r="A85" s="3" t="s">
        <v>148</v>
      </c>
      <c r="B85" s="99">
        <f>IF(INDEX($R$4:$R$23,B$61)=$A85,MAX(INDEX($Q$4:$Q$23,B$61)*12,Assumptions!$B$6*12*INDEX($O$4:$O$23,B$61)),0)</f>
        <v>0</v>
      </c>
      <c r="C85" s="99">
        <f>IF(INDEX($R$4:$R$23,C$61)=$A85,MAX(INDEX($Q$4:$Q$23,C$61)*12,Assumptions!$B$6*12*INDEX($O$4:$O$23,C$61)),0)</f>
        <v>0</v>
      </c>
      <c r="D85" s="99">
        <f>IF(INDEX($R$4:$R$23,D$61)=$A85,MAX(INDEX($Q$4:$Q$23,D$61)*12,Assumptions!$B$6*12*INDEX($O$4:$O$23,D$61)),0)</f>
        <v>0</v>
      </c>
      <c r="E85" s="99">
        <f>IF(INDEX($R$4:$R$23,E$61)=$A85,MAX(INDEX($Q$4:$Q$23,E$61)*12,Assumptions!$B$6*12*INDEX($O$4:$O$23,E$61)),0)</f>
        <v>0</v>
      </c>
      <c r="F85" s="99">
        <f>IF(INDEX($R$4:$R$23,F$61)=$A85,MAX(INDEX($Q$4:$Q$23,F$61)*12,Assumptions!$B$6*12*INDEX($O$4:$O$23,F$61)),0)</f>
        <v>0</v>
      </c>
      <c r="G85" s="99">
        <f>IF(INDEX($R$4:$R$23,G$61)=$A85,MAX(INDEX($Q$4:$Q$23,G$61)*12,Assumptions!$B$6*12*INDEX($O$4:$O$23,G$61)),0)</f>
        <v>0</v>
      </c>
      <c r="H85" s="99">
        <f>IF(INDEX($R$4:$R$23,H$61)=$A85,MAX(INDEX($Q$4:$Q$23,H$61)*12,Assumptions!$B$6*12*INDEX($O$4:$O$23,H$61)),0)</f>
        <v>0</v>
      </c>
      <c r="I85" s="99">
        <f>IF(INDEX($R$4:$R$23,I$61)=$A85,MAX(INDEX($Q$4:$Q$23,I$61)*12,Assumptions!$B$6*12*INDEX($O$4:$O$23,I$61)),0)</f>
        <v>0</v>
      </c>
      <c r="J85" s="99">
        <f>IF(INDEX($R$4:$R$23,J$61)=$A85,MAX(INDEX($Q$4:$Q$23,J$61)*12,Assumptions!$B$6*12*INDEX($O$4:$O$23,J$61)),0)</f>
        <v>0</v>
      </c>
      <c r="K85" s="99">
        <f>IF(INDEX($R$4:$R$23,K$61)=$A85,MAX(INDEX($Q$4:$Q$23,K$61)*12,Assumptions!$B$6*12*INDEX($O$4:$O$23,K$61)),0)</f>
        <v>0</v>
      </c>
      <c r="L85" s="99">
        <f>IF(INDEX($R$4:$R$23,L$61)=$A85,MAX(INDEX($Q$4:$Q$23,L$61)*12,Assumptions!$B$6*12*INDEX($O$4:$O$23,L$61)),0)</f>
        <v>0</v>
      </c>
      <c r="M85" s="99">
        <f>IF(INDEX($R$4:$R$23,M$61)=$A85,MAX(INDEX($Q$4:$Q$23,M$61)*12,Assumptions!$B$6*12*INDEX($O$4:$O$23,M$61)),0)</f>
        <v>0</v>
      </c>
      <c r="N85" s="99">
        <f>IF(INDEX($R$4:$R$23,N$61)=$A85,MAX(INDEX($Q$4:$Q$23,N$61)*12,Assumptions!$B$6*12*INDEX($O$4:$O$23,N$61)),0)</f>
        <v>0</v>
      </c>
      <c r="O85" s="99">
        <f>IF(INDEX($R$4:$R$23,O$61)=$A85,MAX(INDEX($Q$4:$Q$23,O$61)*12,Assumptions!$B$6*12*INDEX($O$4:$O$23,O$61)),0)</f>
        <v>0</v>
      </c>
      <c r="P85" s="99">
        <f>IF(INDEX($R$4:$R$23,P$61)=$A85,MAX(INDEX($Q$4:$Q$23,P$61)*12,Assumptions!$B$6*12*INDEX($O$4:$O$23,P$61)),0)</f>
        <v>0</v>
      </c>
      <c r="Q85" s="99">
        <f>IF(INDEX($R$4:$R$23,Q$61)=$A85,MAX(INDEX($Q$4:$Q$23,Q$61)*12,Assumptions!$B$6*12*INDEX($O$4:$O$23,Q$61)),0)</f>
        <v>0</v>
      </c>
      <c r="R85" s="99">
        <f>IF(INDEX($R$4:$R$23,R$61)=$A85,MAX(INDEX($Q$4:$Q$23,R$61)*12,Assumptions!$B$6*12*INDEX($O$4:$O$23,R$61)),0)</f>
        <v>0</v>
      </c>
      <c r="S85" s="99">
        <f>IF(INDEX($R$4:$R$23,S$61)=$A85,MAX(INDEX($Q$4:$Q$23,S$61)*12,Assumptions!$B$6*12*INDEX($O$4:$O$23,S$61)),0)</f>
        <v>0</v>
      </c>
      <c r="T85" s="99">
        <f>IF(INDEX($R$4:$R$23,T$61)=$A85,MAX(INDEX($Q$4:$Q$23,T$61)*12,Assumptions!$B$6*12*INDEX($O$4:$O$23,T$61)),0)</f>
        <v>0</v>
      </c>
      <c r="U85" s="99">
        <f>IF(INDEX($R$4:$R$23,U$61)=$A85,MAX(INDEX($Q$4:$Q$23,U$61)*12,Assumptions!$B$6*12*INDEX($O$4:$O$23,U$61)),0)</f>
        <v>0</v>
      </c>
    </row>
    <row r="86" spans="1:21" hidden="1" x14ac:dyDescent="0.2">
      <c r="A86" s="78" t="s">
        <v>142</v>
      </c>
      <c r="B86" s="99">
        <f>IF(INDEX($R$4:$R$23,B$61)=$A86,MAX(INDEX($Q$4:$Q$23,B$61)*12,Assumptions!$B$6*12*INDEX($O$4:$O$23,B$61)),0)</f>
        <v>0</v>
      </c>
      <c r="C86" s="99">
        <f>IF(INDEX($R$4:$R$23,C$61)=$A86,MAX(INDEX($Q$4:$Q$23,C$61)*12,Assumptions!$B$6*12*INDEX($O$4:$O$23,C$61)),0)</f>
        <v>0</v>
      </c>
      <c r="D86" s="99">
        <f>IF(INDEX($R$4:$R$23,D$61)=$A86,MAX(INDEX($Q$4:$Q$23,D$61)*12,Assumptions!$B$6*12*INDEX($O$4:$O$23,D$61)),0)</f>
        <v>0</v>
      </c>
      <c r="E86" s="99">
        <f>IF(INDEX($R$4:$R$23,E$61)=$A86,MAX(INDEX($Q$4:$Q$23,E$61)*12,Assumptions!$B$6*12*INDEX($O$4:$O$23,E$61)),0)</f>
        <v>0</v>
      </c>
      <c r="F86" s="99">
        <f>IF(INDEX($R$4:$R$23,F$61)=$A86,MAX(INDEX($Q$4:$Q$23,F$61)*12,Assumptions!$B$6*12*INDEX($O$4:$O$23,F$61)),0)</f>
        <v>0</v>
      </c>
      <c r="G86" s="99">
        <f>IF(INDEX($R$4:$R$23,G$61)=$A86,MAX(INDEX($Q$4:$Q$23,G$61)*12,Assumptions!$B$6*12*INDEX($O$4:$O$23,G$61)),0)</f>
        <v>0</v>
      </c>
      <c r="H86" s="99">
        <f>IF(INDEX($R$4:$R$23,H$61)=$A86,MAX(INDEX($Q$4:$Q$23,H$61)*12,Assumptions!$B$6*12*INDEX($O$4:$O$23,H$61)),0)</f>
        <v>0</v>
      </c>
      <c r="I86" s="99">
        <f>IF(INDEX($R$4:$R$23,I$61)=$A86,MAX(INDEX($Q$4:$Q$23,I$61)*12,Assumptions!$B$6*12*INDEX($O$4:$O$23,I$61)),0)</f>
        <v>0</v>
      </c>
      <c r="J86" s="99">
        <f>IF(INDEX($R$4:$R$23,J$61)=$A86,MAX(INDEX($Q$4:$Q$23,J$61)*12,Assumptions!$B$6*12*INDEX($O$4:$O$23,J$61)),0)</f>
        <v>0</v>
      </c>
      <c r="K86" s="99">
        <f>IF(INDEX($R$4:$R$23,K$61)=$A86,MAX(INDEX($Q$4:$Q$23,K$61)*12,Assumptions!$B$6*12*INDEX($O$4:$O$23,K$61)),0)</f>
        <v>0</v>
      </c>
      <c r="L86" s="99">
        <f>IF(INDEX($R$4:$R$23,L$61)=$A86,MAX(INDEX($Q$4:$Q$23,L$61)*12,Assumptions!$B$6*12*INDEX($O$4:$O$23,L$61)),0)</f>
        <v>0</v>
      </c>
      <c r="M86" s="99">
        <f>IF(INDEX($R$4:$R$23,M$61)=$A86,MAX(INDEX($Q$4:$Q$23,M$61)*12,Assumptions!$B$6*12*INDEX($O$4:$O$23,M$61)),0)</f>
        <v>0</v>
      </c>
      <c r="N86" s="99">
        <f>IF(INDEX($R$4:$R$23,N$61)=$A86,MAX(INDEX($Q$4:$Q$23,N$61)*12,Assumptions!$B$6*12*INDEX($O$4:$O$23,N$61)),0)</f>
        <v>0</v>
      </c>
      <c r="O86" s="99">
        <f>IF(INDEX($R$4:$R$23,O$61)=$A86,MAX(INDEX($Q$4:$Q$23,O$61)*12,Assumptions!$B$6*12*INDEX($O$4:$O$23,O$61)),0)</f>
        <v>0</v>
      </c>
      <c r="P86" s="99">
        <f>IF(INDEX($R$4:$R$23,P$61)=$A86,MAX(INDEX($Q$4:$Q$23,P$61)*12,Assumptions!$B$6*12*INDEX($O$4:$O$23,P$61)),0)</f>
        <v>0</v>
      </c>
      <c r="Q86" s="99">
        <f>IF(INDEX($R$4:$R$23,Q$61)=$A86,MAX(INDEX($Q$4:$Q$23,Q$61)*12,Assumptions!$B$6*12*INDEX($O$4:$O$23,Q$61)),0)</f>
        <v>0</v>
      </c>
      <c r="R86" s="99">
        <f>IF(INDEX($R$4:$R$23,R$61)=$A86,MAX(INDEX($Q$4:$Q$23,R$61)*12,Assumptions!$B$6*12*INDEX($O$4:$O$23,R$61)),0)</f>
        <v>0</v>
      </c>
      <c r="S86" s="99">
        <f>IF(INDEX($R$4:$R$23,S$61)=$A86,MAX(INDEX($Q$4:$Q$23,S$61)*12,Assumptions!$B$6*12*INDEX($O$4:$O$23,S$61)),0)</f>
        <v>0</v>
      </c>
      <c r="T86" s="99">
        <f>IF(INDEX($R$4:$R$23,T$61)=$A86,MAX(INDEX($Q$4:$Q$23,T$61)*12,Assumptions!$B$6*12*INDEX($O$4:$O$23,T$61)),0)</f>
        <v>0</v>
      </c>
      <c r="U86" s="99">
        <f>IF(INDEX($R$4:$R$23,U$61)=$A86,MAX(INDEX($Q$4:$Q$23,U$61)*12,Assumptions!$B$6*12*INDEX($O$4:$O$23,U$61)),0)</f>
        <v>0</v>
      </c>
    </row>
    <row r="87" spans="1:21" hidden="1" x14ac:dyDescent="0.2">
      <c r="A87" s="3" t="s">
        <v>156</v>
      </c>
      <c r="B87" s="99">
        <f>IF(B77=0,0,B77+INDEX($O$4:$O$23,B$61)*Assumptions!$E$4)</f>
        <v>0</v>
      </c>
      <c r="C87" s="99">
        <f>IF(C77=0,0,C77+INDEX($O$4:$O$23,C$61)*Assumptions!$E$4)</f>
        <v>0</v>
      </c>
      <c r="D87" s="99">
        <f>IF(D77=0,0,D77+INDEX($O$4:$O$23,D$61)*Assumptions!$E$4)</f>
        <v>0</v>
      </c>
      <c r="E87" s="99">
        <f>IF(E77=0,0,E77+INDEX($O$4:$O$23,E$61)*Assumptions!$E$4)</f>
        <v>0</v>
      </c>
      <c r="F87" s="99">
        <f>IF(F77=0,0,F77+INDEX($O$4:$O$23,F$61)*Assumptions!$E$4)</f>
        <v>0</v>
      </c>
      <c r="G87" s="99">
        <f>IF(G77=0,0,G77+INDEX($O$4:$O$23,G$61)*Assumptions!$E$4)</f>
        <v>0</v>
      </c>
      <c r="H87" s="99">
        <f>IF(H77=0,0,H77+INDEX($O$4:$O$23,H$61)*Assumptions!$E$4)</f>
        <v>0</v>
      </c>
      <c r="I87" s="99">
        <f>IF(I77=0,0,I77+INDEX($O$4:$O$23,I$61)*Assumptions!$E$4)</f>
        <v>0</v>
      </c>
      <c r="J87" s="99">
        <f>IF(J77=0,0,J77+INDEX($O$4:$O$23,J$61)*Assumptions!$E$4)</f>
        <v>0</v>
      </c>
      <c r="K87" s="99">
        <f>IF(K77=0,0,K77+INDEX($O$4:$O$23,K$61)*Assumptions!$E$4)</f>
        <v>0</v>
      </c>
      <c r="L87" s="99">
        <f>IF(L77=0,0,L77+INDEX($O$4:$O$23,L$61)*Assumptions!$E$4)</f>
        <v>0</v>
      </c>
      <c r="M87" s="99">
        <f>IF(M77=0,0,M77+INDEX($O$4:$O$23,M$61)*Assumptions!$E$4)</f>
        <v>0</v>
      </c>
      <c r="N87" s="99">
        <f>IF(N77=0,0,N77+INDEX($O$4:$O$23,N$61)*Assumptions!$E$4)</f>
        <v>0</v>
      </c>
      <c r="O87" s="99">
        <f>IF(O77=0,0,O77+INDEX($O$4:$O$23,O$61)*Assumptions!$E$4)</f>
        <v>0</v>
      </c>
      <c r="P87" s="99">
        <f>IF(P77=0,0,P77+INDEX($O$4:$O$23,P$61)*Assumptions!$E$4)</f>
        <v>0</v>
      </c>
      <c r="Q87" s="99">
        <f>IF(Q77=0,0,Q77+INDEX($O$4:$O$23,Q$61)*Assumptions!$E$4)</f>
        <v>0</v>
      </c>
      <c r="R87" s="99">
        <f>IF(R77=0,0,R77+INDEX($O$4:$O$23,R$61)*Assumptions!$E$4)</f>
        <v>0</v>
      </c>
      <c r="S87" s="99">
        <f>IF(S77=0,0,S77+INDEX($O$4:$O$23,S$61)*Assumptions!$E$4)</f>
        <v>0</v>
      </c>
      <c r="T87" s="99">
        <f>IF(T77=0,0,T77+INDEX($O$4:$O$23,T$61)*Assumptions!$E$4)</f>
        <v>0</v>
      </c>
      <c r="U87" s="99">
        <f>IF(U77=0,0,U77+INDEX($O$4:$O$23,U$61)*Assumptions!$E$4)</f>
        <v>0</v>
      </c>
    </row>
    <row r="88" spans="1:21" hidden="1" x14ac:dyDescent="0.2">
      <c r="A88" s="3" t="s">
        <v>158</v>
      </c>
      <c r="B88" s="99">
        <f>B78</f>
        <v>0</v>
      </c>
      <c r="C88" s="99">
        <f t="shared" ref="C88:U88" si="25">C78</f>
        <v>0</v>
      </c>
      <c r="D88" s="99">
        <f t="shared" si="25"/>
        <v>0</v>
      </c>
      <c r="E88" s="99">
        <f t="shared" si="25"/>
        <v>0</v>
      </c>
      <c r="F88" s="99">
        <f t="shared" si="25"/>
        <v>0</v>
      </c>
      <c r="G88" s="99">
        <f t="shared" si="25"/>
        <v>0</v>
      </c>
      <c r="H88" s="99">
        <f t="shared" si="25"/>
        <v>0</v>
      </c>
      <c r="I88" s="99">
        <f t="shared" si="25"/>
        <v>0</v>
      </c>
      <c r="J88" s="99">
        <f t="shared" si="25"/>
        <v>0</v>
      </c>
      <c r="K88" s="99">
        <f t="shared" si="25"/>
        <v>0</v>
      </c>
      <c r="L88" s="99">
        <f t="shared" si="25"/>
        <v>0</v>
      </c>
      <c r="M88" s="99">
        <f t="shared" si="25"/>
        <v>0</v>
      </c>
      <c r="N88" s="99">
        <f t="shared" si="25"/>
        <v>0</v>
      </c>
      <c r="O88" s="99">
        <f t="shared" si="25"/>
        <v>0</v>
      </c>
      <c r="P88" s="99">
        <f t="shared" si="25"/>
        <v>0</v>
      </c>
      <c r="Q88" s="99">
        <f t="shared" si="25"/>
        <v>0</v>
      </c>
      <c r="R88" s="99">
        <f t="shared" si="25"/>
        <v>0</v>
      </c>
      <c r="S88" s="99">
        <f t="shared" si="25"/>
        <v>0</v>
      </c>
      <c r="T88" s="99">
        <f t="shared" si="25"/>
        <v>0</v>
      </c>
      <c r="U88" s="99">
        <f t="shared" si="25"/>
        <v>0</v>
      </c>
    </row>
    <row r="89" spans="1:21" hidden="1" x14ac:dyDescent="0.2">
      <c r="A89" s="4" t="s">
        <v>175</v>
      </c>
      <c r="B89" s="99">
        <f t="shared" ref="B89:U89" si="26">_xlfn.IFNA(INDEX(B90:B99,MATCH(INDEX($R$4:$R$23,B$61),$A$90:$A$99,0)),0)</f>
        <v>0</v>
      </c>
      <c r="C89" s="99">
        <f t="shared" si="26"/>
        <v>0</v>
      </c>
      <c r="D89" s="99">
        <f t="shared" si="26"/>
        <v>0</v>
      </c>
      <c r="E89" s="99">
        <f t="shared" si="26"/>
        <v>0</v>
      </c>
      <c r="F89" s="99">
        <f t="shared" si="26"/>
        <v>0</v>
      </c>
      <c r="G89" s="99">
        <f t="shared" si="26"/>
        <v>0</v>
      </c>
      <c r="H89" s="99">
        <f t="shared" si="26"/>
        <v>0</v>
      </c>
      <c r="I89" s="99">
        <f t="shared" si="26"/>
        <v>0</v>
      </c>
      <c r="J89" s="99">
        <f t="shared" si="26"/>
        <v>0</v>
      </c>
      <c r="K89" s="99">
        <f t="shared" si="26"/>
        <v>0</v>
      </c>
      <c r="L89" s="99">
        <f t="shared" si="26"/>
        <v>0</v>
      </c>
      <c r="M89" s="99">
        <f t="shared" si="26"/>
        <v>0</v>
      </c>
      <c r="N89" s="99">
        <f t="shared" si="26"/>
        <v>0</v>
      </c>
      <c r="O89" s="99">
        <f t="shared" si="26"/>
        <v>0</v>
      </c>
      <c r="P89" s="99">
        <f t="shared" si="26"/>
        <v>0</v>
      </c>
      <c r="Q89" s="99">
        <f t="shared" si="26"/>
        <v>0</v>
      </c>
      <c r="R89" s="99">
        <f t="shared" si="26"/>
        <v>0</v>
      </c>
      <c r="S89" s="99">
        <f t="shared" si="26"/>
        <v>0</v>
      </c>
      <c r="T89" s="99">
        <f t="shared" si="26"/>
        <v>0</v>
      </c>
      <c r="U89" s="99">
        <f t="shared" si="26"/>
        <v>0</v>
      </c>
    </row>
    <row r="90" spans="1:21" hidden="1" x14ac:dyDescent="0.2">
      <c r="A90" s="78" t="s">
        <v>133</v>
      </c>
      <c r="B90" s="89">
        <f>B79</f>
        <v>0</v>
      </c>
      <c r="C90" s="89">
        <f t="shared" ref="C90:U91" si="27">C79</f>
        <v>0</v>
      </c>
      <c r="D90" s="89">
        <f t="shared" si="27"/>
        <v>0</v>
      </c>
      <c r="E90" s="89">
        <f t="shared" si="27"/>
        <v>0</v>
      </c>
      <c r="F90" s="89">
        <f t="shared" si="27"/>
        <v>0</v>
      </c>
      <c r="G90" s="89">
        <f t="shared" si="27"/>
        <v>0</v>
      </c>
      <c r="H90" s="89">
        <f t="shared" si="27"/>
        <v>0</v>
      </c>
      <c r="I90" s="89">
        <f t="shared" si="27"/>
        <v>0</v>
      </c>
      <c r="J90" s="89">
        <f t="shared" si="27"/>
        <v>0</v>
      </c>
      <c r="K90" s="89">
        <f t="shared" si="27"/>
        <v>0</v>
      </c>
      <c r="L90" s="89">
        <f t="shared" si="27"/>
        <v>0</v>
      </c>
      <c r="M90" s="89">
        <f t="shared" si="27"/>
        <v>0</v>
      </c>
      <c r="N90" s="89">
        <f t="shared" si="27"/>
        <v>0</v>
      </c>
      <c r="O90" s="89">
        <f t="shared" si="27"/>
        <v>0</v>
      </c>
      <c r="P90" s="89">
        <f t="shared" si="27"/>
        <v>0</v>
      </c>
      <c r="Q90" s="89">
        <f t="shared" si="27"/>
        <v>0</v>
      </c>
      <c r="R90" s="89">
        <f t="shared" si="27"/>
        <v>0</v>
      </c>
      <c r="S90" s="89">
        <f t="shared" si="27"/>
        <v>0</v>
      </c>
      <c r="T90" s="89">
        <f t="shared" si="27"/>
        <v>0</v>
      </c>
      <c r="U90" s="89">
        <f t="shared" si="27"/>
        <v>0</v>
      </c>
    </row>
    <row r="91" spans="1:21" s="252" customFormat="1" hidden="1" x14ac:dyDescent="0.2">
      <c r="A91" s="250" t="s">
        <v>115</v>
      </c>
      <c r="B91" s="251">
        <f>B80</f>
        <v>0</v>
      </c>
      <c r="C91" s="251">
        <f t="shared" si="27"/>
        <v>0</v>
      </c>
      <c r="D91" s="251">
        <f t="shared" si="27"/>
        <v>0</v>
      </c>
      <c r="E91" s="251">
        <f t="shared" si="27"/>
        <v>0</v>
      </c>
      <c r="F91" s="251">
        <f t="shared" si="27"/>
        <v>0</v>
      </c>
      <c r="G91" s="251">
        <f t="shared" si="27"/>
        <v>0</v>
      </c>
      <c r="H91" s="251">
        <f t="shared" si="27"/>
        <v>0</v>
      </c>
      <c r="I91" s="251">
        <f t="shared" si="27"/>
        <v>0</v>
      </c>
      <c r="J91" s="251">
        <f t="shared" si="27"/>
        <v>0</v>
      </c>
      <c r="K91" s="251">
        <f t="shared" si="27"/>
        <v>0</v>
      </c>
      <c r="L91" s="251">
        <f t="shared" si="27"/>
        <v>0</v>
      </c>
      <c r="M91" s="251">
        <f t="shared" si="27"/>
        <v>0</v>
      </c>
      <c r="N91" s="251">
        <f t="shared" si="27"/>
        <v>0</v>
      </c>
      <c r="O91" s="251">
        <f t="shared" si="27"/>
        <v>0</v>
      </c>
      <c r="P91" s="251">
        <f t="shared" si="27"/>
        <v>0</v>
      </c>
      <c r="Q91" s="251">
        <f t="shared" si="27"/>
        <v>0</v>
      </c>
      <c r="R91" s="251">
        <f t="shared" si="27"/>
        <v>0</v>
      </c>
      <c r="S91" s="251">
        <f t="shared" si="27"/>
        <v>0</v>
      </c>
      <c r="T91" s="251">
        <f t="shared" si="27"/>
        <v>0</v>
      </c>
      <c r="U91" s="251">
        <f t="shared" si="27"/>
        <v>0</v>
      </c>
    </row>
    <row r="92" spans="1:21" hidden="1" x14ac:dyDescent="0.2">
      <c r="A92" s="4" t="s">
        <v>135</v>
      </c>
      <c r="B92" s="89">
        <f>IF(B71=0,0,B71+INDEX($O$4:$O$23,B$61)*Assumptions!$E$6)</f>
        <v>0</v>
      </c>
      <c r="C92" s="89">
        <f>IF(C71=0,0,C71+INDEX($O$4:$O$23,C$61)*Assumptions!$E$6)</f>
        <v>0</v>
      </c>
      <c r="D92" s="89">
        <f>IF(D71=0,0,D71+INDEX($O$4:$O$23,D$61)*Assumptions!$E$6)</f>
        <v>0</v>
      </c>
      <c r="E92" s="89">
        <f>IF(E71=0,0,E71+INDEX($O$4:$O$23,E$61)*Assumptions!$E$6)</f>
        <v>0</v>
      </c>
      <c r="F92" s="89">
        <f>IF(F71=0,0,F71+INDEX($O$4:$O$23,F$61)*Assumptions!$E$6)</f>
        <v>0</v>
      </c>
      <c r="G92" s="89">
        <f>IF(G71=0,0,G71+INDEX($O$4:$O$23,G$61)*Assumptions!$E$6)</f>
        <v>0</v>
      </c>
      <c r="H92" s="89">
        <f>IF(H71=0,0,H71+INDEX($O$4:$O$23,H$61)*Assumptions!$E$6)</f>
        <v>0</v>
      </c>
      <c r="I92" s="89">
        <f>IF(I71=0,0,I71+INDEX($O$4:$O$23,I$61)*Assumptions!$E$6)</f>
        <v>0</v>
      </c>
      <c r="J92" s="89">
        <f>IF(J71=0,0,J71+INDEX($O$4:$O$23,J$61)*Assumptions!$E$6)</f>
        <v>0</v>
      </c>
      <c r="K92" s="89">
        <f>IF(K71=0,0,K71+INDEX($O$4:$O$23,K$61)*Assumptions!$E$6)</f>
        <v>0</v>
      </c>
      <c r="L92" s="89">
        <f>IF(L71=0,0,L71+INDEX($O$4:$O$23,L$61)*Assumptions!$E$6)</f>
        <v>0</v>
      </c>
      <c r="M92" s="89">
        <f>IF(M71=0,0,M71+INDEX($O$4:$O$23,M$61)*Assumptions!$E$6)</f>
        <v>0</v>
      </c>
      <c r="N92" s="89">
        <f>IF(N71=0,0,N71+INDEX($O$4:$O$23,N$61)*Assumptions!$E$6)</f>
        <v>0</v>
      </c>
      <c r="O92" s="89">
        <f>IF(O71=0,0,O71+INDEX($O$4:$O$23,O$61)*Assumptions!$E$6)</f>
        <v>0</v>
      </c>
      <c r="P92" s="89">
        <f>IF(P71=0,0,P71+INDEX($O$4:$O$23,P$61)*Assumptions!$E$6)</f>
        <v>0</v>
      </c>
      <c r="Q92" s="89">
        <f>IF(Q71=0,0,Q71+INDEX($O$4:$O$23,Q$61)*Assumptions!$E$6)</f>
        <v>0</v>
      </c>
      <c r="R92" s="89">
        <f>IF(R71=0,0,R71+INDEX($O$4:$O$23,R$61)*Assumptions!$E$6)</f>
        <v>0</v>
      </c>
      <c r="S92" s="89">
        <f>IF(S71=0,0,S71+INDEX($O$4:$O$23,S$61)*Assumptions!$E$6)</f>
        <v>0</v>
      </c>
      <c r="T92" s="89">
        <f>IF(T71=0,0,T71+INDEX($O$4:$O$23,T$61)*Assumptions!$E$6)</f>
        <v>0</v>
      </c>
      <c r="U92" s="89">
        <f>IF(U71=0,0,U71+INDEX($O$4:$O$23,U$61)*Assumptions!$E$6)</f>
        <v>0</v>
      </c>
    </row>
    <row r="93" spans="1:21" hidden="1" x14ac:dyDescent="0.2">
      <c r="A93" s="4" t="s">
        <v>141</v>
      </c>
      <c r="B93" s="81">
        <f>IF(B72=0,0,B72+INDEX($O$4:$O$23,B$61)*Assumptions!$E$6)</f>
        <v>0</v>
      </c>
      <c r="C93" s="81">
        <f>IF(C72=0,0,C72+INDEX($O$4:$O$23,C$61)*Assumptions!$E$6)</f>
        <v>0</v>
      </c>
      <c r="D93" s="81">
        <f>IF(D72=0,0,D72+INDEX($O$4:$O$23,D$61)*Assumptions!$E$6)</f>
        <v>0</v>
      </c>
      <c r="E93" s="81">
        <f>IF(E72=0,0,E72+INDEX($O$4:$O$23,E$61)*Assumptions!$E$6)</f>
        <v>0</v>
      </c>
      <c r="F93" s="81">
        <f>IF(F72=0,0,F72+INDEX($O$4:$O$23,F$61)*Assumptions!$E$6)</f>
        <v>0</v>
      </c>
      <c r="G93" s="81">
        <f>IF(G72=0,0,G72+INDEX($O$4:$O$23,G$61)*Assumptions!$E$6)</f>
        <v>0</v>
      </c>
      <c r="H93" s="81">
        <f>IF(H72=0,0,H72+INDEX($O$4:$O$23,H$61)*Assumptions!$E$6)</f>
        <v>0</v>
      </c>
      <c r="I93" s="81">
        <f>IF(I72=0,0,I72+INDEX($O$4:$O$23,I$61)*Assumptions!$E$6)</f>
        <v>0</v>
      </c>
      <c r="J93" s="81">
        <f>IF(J72=0,0,J72+INDEX($O$4:$O$23,J$61)*Assumptions!$E$6)</f>
        <v>0</v>
      </c>
      <c r="K93" s="81">
        <f>IF(K72=0,0,K72+INDEX($O$4:$O$23,K$61)*Assumptions!$E$6)</f>
        <v>0</v>
      </c>
      <c r="L93" s="81">
        <f>IF(L72=0,0,L72+INDEX($O$4:$O$23,L$61)*Assumptions!$E$6)</f>
        <v>0</v>
      </c>
      <c r="M93" s="81">
        <f>IF(M72=0,0,M72+INDEX($O$4:$O$23,M$61)*Assumptions!$E$6)</f>
        <v>0</v>
      </c>
      <c r="N93" s="81">
        <f>IF(N72=0,0,N72+INDEX($O$4:$O$23,N$61)*Assumptions!$E$6)</f>
        <v>0</v>
      </c>
      <c r="O93" s="81">
        <f>IF(O72=0,0,O72+INDEX($O$4:$O$23,O$61)*Assumptions!$E$6)</f>
        <v>0</v>
      </c>
      <c r="P93" s="81">
        <f>IF(P72=0,0,P72+INDEX($O$4:$O$23,P$61)*Assumptions!$E$6)</f>
        <v>0</v>
      </c>
      <c r="Q93" s="81">
        <f>IF(Q72=0,0,Q72+INDEX($O$4:$O$23,Q$61)*Assumptions!$E$6)</f>
        <v>0</v>
      </c>
      <c r="R93" s="81">
        <f>IF(R72=0,0,R72+INDEX($O$4:$O$23,R$61)*Assumptions!$E$6)</f>
        <v>0</v>
      </c>
      <c r="S93" s="81">
        <f>IF(S72=0,0,S72+INDEX($O$4:$O$23,S$61)*Assumptions!$E$6)</f>
        <v>0</v>
      </c>
      <c r="T93" s="81">
        <f>IF(T72=0,0,T72+INDEX($O$4:$O$23,T$61)*Assumptions!$E$6)</f>
        <v>0</v>
      </c>
      <c r="U93" s="81">
        <f>IF(U72=0,0,U72+INDEX($O$4:$O$23,U$61)*Assumptions!$E$6)</f>
        <v>0</v>
      </c>
    </row>
    <row r="94" spans="1:21" hidden="1" x14ac:dyDescent="0.2">
      <c r="A94" s="4" t="s">
        <v>144</v>
      </c>
      <c r="B94" s="91">
        <f>B83</f>
        <v>0</v>
      </c>
      <c r="C94" s="91">
        <f t="shared" ref="C94:U97" si="28">C83</f>
        <v>0</v>
      </c>
      <c r="D94" s="91">
        <f t="shared" si="28"/>
        <v>0</v>
      </c>
      <c r="E94" s="91">
        <f t="shared" si="28"/>
        <v>0</v>
      </c>
      <c r="F94" s="91">
        <f t="shared" si="28"/>
        <v>0</v>
      </c>
      <c r="G94" s="91">
        <f t="shared" si="28"/>
        <v>0</v>
      </c>
      <c r="H94" s="91">
        <f t="shared" si="28"/>
        <v>0</v>
      </c>
      <c r="I94" s="91">
        <f t="shared" si="28"/>
        <v>0</v>
      </c>
      <c r="J94" s="91">
        <f t="shared" si="28"/>
        <v>0</v>
      </c>
      <c r="K94" s="91">
        <f t="shared" si="28"/>
        <v>0</v>
      </c>
      <c r="L94" s="91">
        <f t="shared" si="28"/>
        <v>0</v>
      </c>
      <c r="M94" s="91">
        <f t="shared" si="28"/>
        <v>0</v>
      </c>
      <c r="N94" s="91">
        <f t="shared" si="28"/>
        <v>0</v>
      </c>
      <c r="O94" s="91">
        <f t="shared" si="28"/>
        <v>0</v>
      </c>
      <c r="P94" s="91">
        <f t="shared" si="28"/>
        <v>0</v>
      </c>
      <c r="Q94" s="91">
        <f t="shared" si="28"/>
        <v>0</v>
      </c>
      <c r="R94" s="91">
        <f t="shared" si="28"/>
        <v>0</v>
      </c>
      <c r="S94" s="91">
        <f t="shared" si="28"/>
        <v>0</v>
      </c>
      <c r="T94" s="91">
        <f t="shared" si="28"/>
        <v>0</v>
      </c>
      <c r="U94" s="91">
        <f t="shared" si="28"/>
        <v>0</v>
      </c>
    </row>
    <row r="95" spans="1:21" hidden="1" x14ac:dyDescent="0.2">
      <c r="A95" s="50" t="s">
        <v>138</v>
      </c>
      <c r="B95" s="91">
        <f>B84</f>
        <v>0</v>
      </c>
      <c r="C95" s="91">
        <f t="shared" si="28"/>
        <v>0</v>
      </c>
      <c r="D95" s="91">
        <f t="shared" si="28"/>
        <v>0</v>
      </c>
      <c r="E95" s="91">
        <f t="shared" si="28"/>
        <v>0</v>
      </c>
      <c r="F95" s="91">
        <f t="shared" si="28"/>
        <v>0</v>
      </c>
      <c r="G95" s="91">
        <f t="shared" si="28"/>
        <v>0</v>
      </c>
      <c r="H95" s="91">
        <f t="shared" si="28"/>
        <v>0</v>
      </c>
      <c r="I95" s="91">
        <f t="shared" si="28"/>
        <v>0</v>
      </c>
      <c r="J95" s="91">
        <f t="shared" si="28"/>
        <v>0</v>
      </c>
      <c r="K95" s="91">
        <f t="shared" si="28"/>
        <v>0</v>
      </c>
      <c r="L95" s="91">
        <f t="shared" si="28"/>
        <v>0</v>
      </c>
      <c r="M95" s="91">
        <f t="shared" si="28"/>
        <v>0</v>
      </c>
      <c r="N95" s="91">
        <f t="shared" si="28"/>
        <v>0</v>
      </c>
      <c r="O95" s="91">
        <f t="shared" si="28"/>
        <v>0</v>
      </c>
      <c r="P95" s="91">
        <f t="shared" si="28"/>
        <v>0</v>
      </c>
      <c r="Q95" s="91">
        <f t="shared" si="28"/>
        <v>0</v>
      </c>
      <c r="R95" s="91">
        <f t="shared" si="28"/>
        <v>0</v>
      </c>
      <c r="S95" s="91">
        <f t="shared" si="28"/>
        <v>0</v>
      </c>
      <c r="T95" s="91">
        <f t="shared" si="28"/>
        <v>0</v>
      </c>
      <c r="U95" s="91">
        <f t="shared" si="28"/>
        <v>0</v>
      </c>
    </row>
    <row r="96" spans="1:21" hidden="1" x14ac:dyDescent="0.2">
      <c r="A96" s="4" t="s">
        <v>148</v>
      </c>
      <c r="B96" s="91">
        <f>B85</f>
        <v>0</v>
      </c>
      <c r="C96" s="91">
        <f t="shared" si="28"/>
        <v>0</v>
      </c>
      <c r="D96" s="91">
        <f t="shared" si="28"/>
        <v>0</v>
      </c>
      <c r="E96" s="91">
        <f t="shared" si="28"/>
        <v>0</v>
      </c>
      <c r="F96" s="91">
        <f t="shared" si="28"/>
        <v>0</v>
      </c>
      <c r="G96" s="91">
        <f t="shared" si="28"/>
        <v>0</v>
      </c>
      <c r="H96" s="91">
        <f t="shared" si="28"/>
        <v>0</v>
      </c>
      <c r="I96" s="91">
        <f t="shared" si="28"/>
        <v>0</v>
      </c>
      <c r="J96" s="91">
        <f t="shared" si="28"/>
        <v>0</v>
      </c>
      <c r="K96" s="91">
        <f t="shared" si="28"/>
        <v>0</v>
      </c>
      <c r="L96" s="91">
        <f t="shared" si="28"/>
        <v>0</v>
      </c>
      <c r="M96" s="91">
        <f t="shared" si="28"/>
        <v>0</v>
      </c>
      <c r="N96" s="91">
        <f t="shared" si="28"/>
        <v>0</v>
      </c>
      <c r="O96" s="91">
        <f t="shared" si="28"/>
        <v>0</v>
      </c>
      <c r="P96" s="91">
        <f t="shared" si="28"/>
        <v>0</v>
      </c>
      <c r="Q96" s="91">
        <f t="shared" si="28"/>
        <v>0</v>
      </c>
      <c r="R96" s="91">
        <f t="shared" si="28"/>
        <v>0</v>
      </c>
      <c r="S96" s="91">
        <f t="shared" si="28"/>
        <v>0</v>
      </c>
      <c r="T96" s="91">
        <f t="shared" si="28"/>
        <v>0</v>
      </c>
      <c r="U96" s="91">
        <f t="shared" si="28"/>
        <v>0</v>
      </c>
    </row>
    <row r="97" spans="1:21" hidden="1" x14ac:dyDescent="0.2">
      <c r="A97" s="50" t="s">
        <v>142</v>
      </c>
      <c r="B97" s="91">
        <f>B86</f>
        <v>0</v>
      </c>
      <c r="C97" s="91">
        <f t="shared" si="28"/>
        <v>0</v>
      </c>
      <c r="D97" s="91">
        <f t="shared" si="28"/>
        <v>0</v>
      </c>
      <c r="E97" s="91">
        <f t="shared" si="28"/>
        <v>0</v>
      </c>
      <c r="F97" s="91">
        <f t="shared" si="28"/>
        <v>0</v>
      </c>
      <c r="G97" s="91">
        <f t="shared" si="28"/>
        <v>0</v>
      </c>
      <c r="H97" s="91">
        <f t="shared" si="28"/>
        <v>0</v>
      </c>
      <c r="I97" s="91">
        <f t="shared" si="28"/>
        <v>0</v>
      </c>
      <c r="J97" s="91">
        <f t="shared" si="28"/>
        <v>0</v>
      </c>
      <c r="K97" s="91">
        <f t="shared" si="28"/>
        <v>0</v>
      </c>
      <c r="L97" s="91">
        <f t="shared" si="28"/>
        <v>0</v>
      </c>
      <c r="M97" s="91">
        <f t="shared" si="28"/>
        <v>0</v>
      </c>
      <c r="N97" s="91">
        <f t="shared" si="28"/>
        <v>0</v>
      </c>
      <c r="O97" s="91">
        <f t="shared" si="28"/>
        <v>0</v>
      </c>
      <c r="P97" s="91">
        <f t="shared" si="28"/>
        <v>0</v>
      </c>
      <c r="Q97" s="91">
        <f t="shared" si="28"/>
        <v>0</v>
      </c>
      <c r="R97" s="91">
        <f t="shared" si="28"/>
        <v>0</v>
      </c>
      <c r="S97" s="91">
        <f t="shared" si="28"/>
        <v>0</v>
      </c>
      <c r="T97" s="91">
        <f t="shared" si="28"/>
        <v>0</v>
      </c>
      <c r="U97" s="91">
        <f t="shared" si="28"/>
        <v>0</v>
      </c>
    </row>
    <row r="98" spans="1:21" hidden="1" x14ac:dyDescent="0.2">
      <c r="A98" s="4" t="s">
        <v>156</v>
      </c>
      <c r="B98" s="81">
        <f>IF(B77=0,0,B77+INDEX($O$4:$O$23,B$61)*Assumptions!$E$6)</f>
        <v>0</v>
      </c>
      <c r="C98" s="81">
        <f>IF(C77=0,0,C77+INDEX($O$4:$O$23,C$61)*Assumptions!$E$6)</f>
        <v>0</v>
      </c>
      <c r="D98" s="81">
        <f>IF(D77=0,0,D77+INDEX($O$4:$O$23,D$61)*Assumptions!$E$6)</f>
        <v>0</v>
      </c>
      <c r="E98" s="81">
        <f>IF(E77=0,0,E77+INDEX($O$4:$O$23,E$61)*Assumptions!$E$6)</f>
        <v>0</v>
      </c>
      <c r="F98" s="81">
        <f>IF(F77=0,0,F77+INDEX($O$4:$O$23,F$61)*Assumptions!$E$6)</f>
        <v>0</v>
      </c>
      <c r="G98" s="81">
        <f>IF(G77=0,0,G77+INDEX($O$4:$O$23,G$61)*Assumptions!$E$6)</f>
        <v>0</v>
      </c>
      <c r="H98" s="81">
        <f>IF(H77=0,0,H77+INDEX($O$4:$O$23,H$61)*Assumptions!$E$6)</f>
        <v>0</v>
      </c>
      <c r="I98" s="81">
        <f>IF(I77=0,0,I77+INDEX($O$4:$O$23,I$61)*Assumptions!$E$6)</f>
        <v>0</v>
      </c>
      <c r="J98" s="81">
        <f>IF(J77=0,0,J77+INDEX($O$4:$O$23,J$61)*Assumptions!$E$6)</f>
        <v>0</v>
      </c>
      <c r="K98" s="81">
        <f>IF(K77=0,0,K77+INDEX($O$4:$O$23,K$61)*Assumptions!$E$6)</f>
        <v>0</v>
      </c>
      <c r="L98" s="81">
        <f>IF(L77=0,0,L77+INDEX($O$4:$O$23,L$61)*Assumptions!$E$6)</f>
        <v>0</v>
      </c>
      <c r="M98" s="81">
        <f>IF(M77=0,0,M77+INDEX($O$4:$O$23,M$61)*Assumptions!$E$6)</f>
        <v>0</v>
      </c>
      <c r="N98" s="81">
        <f>IF(N77=0,0,N77+INDEX($O$4:$O$23,N$61)*Assumptions!$E$6)</f>
        <v>0</v>
      </c>
      <c r="O98" s="81">
        <f>IF(O77=0,0,O77+INDEX($O$4:$O$23,O$61)*Assumptions!$E$6)</f>
        <v>0</v>
      </c>
      <c r="P98" s="81">
        <f>IF(P77=0,0,P77+INDEX($O$4:$O$23,P$61)*Assumptions!$E$6)</f>
        <v>0</v>
      </c>
      <c r="Q98" s="81">
        <f>IF(Q77=0,0,Q77+INDEX($O$4:$O$23,Q$61)*Assumptions!$E$6)</f>
        <v>0</v>
      </c>
      <c r="R98" s="81">
        <f>IF(R77=0,0,R77+INDEX($O$4:$O$23,R$61)*Assumptions!$E$6)</f>
        <v>0</v>
      </c>
      <c r="S98" s="81">
        <f>IF(S77=0,0,S77+INDEX($O$4:$O$23,S$61)*Assumptions!$E$6)</f>
        <v>0</v>
      </c>
      <c r="T98" s="81">
        <f>IF(T77=0,0,T77+INDEX($O$4:$O$23,T$61)*Assumptions!$E$6)</f>
        <v>0</v>
      </c>
      <c r="U98" s="81">
        <f>IF(U77=0,0,U77+INDEX($O$4:$O$23,U$61)*Assumptions!$E$6)</f>
        <v>0</v>
      </c>
    </row>
    <row r="99" spans="1:21" hidden="1" x14ac:dyDescent="0.2">
      <c r="A99" s="4" t="s">
        <v>158</v>
      </c>
      <c r="B99" s="81">
        <f>B88</f>
        <v>0</v>
      </c>
      <c r="C99" s="81">
        <f t="shared" ref="C99:U99" si="29">C88</f>
        <v>0</v>
      </c>
      <c r="D99" s="81">
        <f t="shared" si="29"/>
        <v>0</v>
      </c>
      <c r="E99" s="81">
        <f t="shared" si="29"/>
        <v>0</v>
      </c>
      <c r="F99" s="81">
        <f t="shared" si="29"/>
        <v>0</v>
      </c>
      <c r="G99" s="81">
        <f t="shared" si="29"/>
        <v>0</v>
      </c>
      <c r="H99" s="81">
        <f t="shared" si="29"/>
        <v>0</v>
      </c>
      <c r="I99" s="81">
        <f t="shared" si="29"/>
        <v>0</v>
      </c>
      <c r="J99" s="81">
        <f t="shared" si="29"/>
        <v>0</v>
      </c>
      <c r="K99" s="81">
        <f t="shared" si="29"/>
        <v>0</v>
      </c>
      <c r="L99" s="81">
        <f t="shared" si="29"/>
        <v>0</v>
      </c>
      <c r="M99" s="81">
        <f t="shared" si="29"/>
        <v>0</v>
      </c>
      <c r="N99" s="81">
        <f t="shared" si="29"/>
        <v>0</v>
      </c>
      <c r="O99" s="81">
        <f t="shared" si="29"/>
        <v>0</v>
      </c>
      <c r="P99" s="81">
        <f t="shared" si="29"/>
        <v>0</v>
      </c>
      <c r="Q99" s="81">
        <f t="shared" si="29"/>
        <v>0</v>
      </c>
      <c r="R99" s="81">
        <f t="shared" si="29"/>
        <v>0</v>
      </c>
      <c r="S99" s="81">
        <f t="shared" si="29"/>
        <v>0</v>
      </c>
      <c r="T99" s="81">
        <f t="shared" si="29"/>
        <v>0</v>
      </c>
      <c r="U99" s="81">
        <f t="shared" si="29"/>
        <v>0</v>
      </c>
    </row>
    <row r="100" spans="1:21" hidden="1" x14ac:dyDescent="0.2">
      <c r="A100" s="248" t="s">
        <v>172</v>
      </c>
      <c r="B100" s="249" cm="1">
        <f t="array" ref="B100">IF(INDEX($R$4:$R$23,B$61)="Resi Investment",SUM(F206:F217),B63)</f>
        <v>0</v>
      </c>
      <c r="C100" s="249" cm="1">
        <f t="array" ref="C100">IF(INDEX($R$4:$R$23,C$61)="Resi Investment",SUM(G206:G217),C63)</f>
        <v>0</v>
      </c>
      <c r="D100" s="249" cm="1">
        <f t="array" ref="D100">IF(INDEX($R$4:$R$23,D$61)="Resi Investment",SUM(H206:H217),D63)</f>
        <v>0</v>
      </c>
      <c r="E100" s="249" cm="1">
        <f t="array" ref="E100">IF(INDEX($R$4:$R$23,E$61)="Resi Investment",SUM(I206:I217),E63)</f>
        <v>0</v>
      </c>
      <c r="F100" s="249" cm="1">
        <f t="array" ref="F100">IF(INDEX($R$4:$R$23,F$61)="Resi Investment",SUM(J206:J217),F63)</f>
        <v>0</v>
      </c>
      <c r="G100" s="249" cm="1">
        <f t="array" ref="G100">IF(INDEX($R$4:$R$23,G$61)="Resi Investment",SUM(K206:K217),G63)</f>
        <v>0</v>
      </c>
      <c r="H100" s="249" cm="1">
        <f t="array" ref="H100">IF(INDEX($R$4:$R$23,H$61)="Resi Investment",SUM(L206:L217),H63)</f>
        <v>0</v>
      </c>
      <c r="I100" s="249" cm="1">
        <f t="array" ref="I100">IF(INDEX($R$4:$R$23,I$61)="Resi Investment",SUM(M206:M217),I63)</f>
        <v>0</v>
      </c>
      <c r="J100" s="249" cm="1">
        <f t="array" ref="J100">IF(INDEX($R$4:$R$23,J$61)="Resi Investment",SUM(N206:N217),J63)</f>
        <v>0</v>
      </c>
      <c r="K100" s="249" cm="1">
        <f t="array" ref="K100">IF(INDEX($R$4:$R$23,K$61)="Resi Investment",SUM(O206:O217),K63)</f>
        <v>0</v>
      </c>
      <c r="L100" s="249" cm="1">
        <f t="array" ref="L100">IF(INDEX($R$4:$R$23,L$61)="Resi Investment",SUM(P206:P217),L63)</f>
        <v>0</v>
      </c>
      <c r="M100" s="249" cm="1">
        <f t="array" ref="M100">IF(INDEX($R$4:$R$23,M$61)="Resi Investment",SUM(Q206:Q217),M63)</f>
        <v>0</v>
      </c>
      <c r="N100" s="249" cm="1">
        <f t="array" ref="N100">IF(INDEX($R$4:$R$23,N$61)="Resi Investment",SUM(R206:R217),N63)</f>
        <v>0</v>
      </c>
      <c r="O100" s="249" cm="1">
        <f t="array" ref="O100">IF(INDEX($R$4:$R$23,O$61)="Resi Investment",SUM(S206:S217),O63)</f>
        <v>0</v>
      </c>
      <c r="P100" s="249" cm="1">
        <f t="array" ref="P100">IF(INDEX($R$4:$R$23,P$61)="Resi Investment",SUM(T206:T217),P63)</f>
        <v>0</v>
      </c>
      <c r="Q100" s="249" cm="1">
        <f t="array" ref="Q100">IF(INDEX($R$4:$R$23,Q$61)="Resi Investment",SUM(U206:U217),Q63)</f>
        <v>0</v>
      </c>
      <c r="R100" s="249" cm="1">
        <f t="array" ref="R100">IF(INDEX($R$4:$R$23,R$61)="Resi Investment",SUM(V206:V217),R63)</f>
        <v>0</v>
      </c>
      <c r="S100" s="249" cm="1">
        <f t="array" ref="S100">IF(INDEX($R$4:$R$23,S$61)="Resi Investment",SUM(W206:W217),S63)</f>
        <v>0</v>
      </c>
      <c r="T100" s="249" cm="1">
        <f t="array" ref="T100">IF(INDEX($R$4:$R$23,T$61)="Resi Investment",SUM(X206:X217),T63)</f>
        <v>0</v>
      </c>
      <c r="U100" s="249" cm="1">
        <f t="array" ref="U100">IF(INDEX($R$4:$R$23,U$61)="Resi Investment",SUM(Y206:Y217),U63)</f>
        <v>0</v>
      </c>
    </row>
    <row r="101" spans="1:21" hidden="1" x14ac:dyDescent="0.2"/>
    <row r="102" spans="1:21" hidden="1" x14ac:dyDescent="0.2">
      <c r="A102" s="78" t="s">
        <v>176</v>
      </c>
    </row>
    <row r="103" spans="1:21" hidden="1" x14ac:dyDescent="0.2"/>
    <row r="104" spans="1:21" s="253" customFormat="1" hidden="1" x14ac:dyDescent="0.2">
      <c r="A104" s="253" t="s">
        <v>177</v>
      </c>
    </row>
    <row r="105" spans="1:21" hidden="1" x14ac:dyDescent="0.2">
      <c r="A105" s="3" t="s">
        <v>164</v>
      </c>
      <c r="B105" s="3" t="s">
        <v>178</v>
      </c>
      <c r="C105" s="78" t="s">
        <v>179</v>
      </c>
      <c r="D105" s="3" t="s">
        <v>180</v>
      </c>
      <c r="E105" s="3" t="s">
        <v>181</v>
      </c>
    </row>
    <row r="106" spans="1:21" hidden="1" x14ac:dyDescent="0.2">
      <c r="A106" s="3">
        <v>1</v>
      </c>
      <c r="B106" s="141" t="str">
        <f>IF(H4="Top Up Loan","Y","N")</f>
        <v>N</v>
      </c>
      <c r="C106" s="141" t="str">
        <f>IF(AND(H4="Commercial",E4="IO"),"Y","N")</f>
        <v>N</v>
      </c>
      <c r="D106" s="3">
        <f>IF(B106="Y",G4,0)</f>
        <v>0</v>
      </c>
      <c r="E106" s="3">
        <f>IF(AND(C106="Y",E4="IO"),F4,0)</f>
        <v>0</v>
      </c>
    </row>
    <row r="107" spans="1:21" hidden="1" x14ac:dyDescent="0.2">
      <c r="A107" s="3">
        <v>2</v>
      </c>
      <c r="B107" s="141" t="str">
        <f>IF(H5="Top Up Loan","Y","N")</f>
        <v>N</v>
      </c>
      <c r="C107" s="141" t="str">
        <f>IF(AND(H5="Commercial",E5="IO"),"Y","N")</f>
        <v>N</v>
      </c>
      <c r="D107" s="3">
        <f>IF(B107="Y",G5,0)</f>
        <v>0</v>
      </c>
      <c r="E107" s="3">
        <f>IF(AND(C107="Y",E5="IO"),F5,0)</f>
        <v>0</v>
      </c>
    </row>
    <row r="108" spans="1:21" hidden="1" x14ac:dyDescent="0.2">
      <c r="A108" s="3">
        <v>3</v>
      </c>
      <c r="B108" s="141" t="str">
        <f>IF(H6="Top Up Loan","Y","N")</f>
        <v>N</v>
      </c>
      <c r="C108" s="141" t="str">
        <f>IF(AND(H6="Commercial",E6="IO"),"Y","N")</f>
        <v>N</v>
      </c>
      <c r="D108" s="3">
        <f>IF(B108="Y",G6,0)</f>
        <v>0</v>
      </c>
      <c r="E108" s="3">
        <f>IF(AND(C108="Y",E6="IO"),F6,0)</f>
        <v>0</v>
      </c>
    </row>
    <row r="109" spans="1:21" hidden="1" x14ac:dyDescent="0.2">
      <c r="A109" s="3">
        <v>4</v>
      </c>
      <c r="B109" s="141" t="str">
        <f>IF(H7="Top Up Loan","Y","N")</f>
        <v>N</v>
      </c>
      <c r="C109" s="141" t="str">
        <f>IF(AND(H7="Commercial",E7="IO"),"Y","N")</f>
        <v>N</v>
      </c>
      <c r="D109" s="3">
        <f>IF(B109="Y",G7,0)</f>
        <v>0</v>
      </c>
      <c r="E109" s="3">
        <f>IF(AND(C109="Y",E7="IO"),F7,0)</f>
        <v>0</v>
      </c>
    </row>
    <row r="110" spans="1:21" hidden="1" x14ac:dyDescent="0.2">
      <c r="B110" s="78"/>
    </row>
    <row r="111" spans="1:21" hidden="1" x14ac:dyDescent="0.2">
      <c r="A111" s="253" t="s">
        <v>182</v>
      </c>
      <c r="B111" s="253" t="str">
        <f>IF(AND(ISNUMBER(MATCH("Y",B106:B109,0)),OR(MAX(D106:D109)&lt;=E106,MAX(D106:D109)&lt;=E107,MAX(D106:D109)&lt;=E108,MAX(D106:D109)&lt;=E109)),"Y","N")</f>
        <v>N</v>
      </c>
      <c r="C111" s="78" t="s">
        <v>183</v>
      </c>
    </row>
    <row r="112" spans="1:21" hidden="1" x14ac:dyDescent="0.2"/>
    <row r="113" spans="1:13" hidden="1" x14ac:dyDescent="0.2">
      <c r="A113" s="3" t="s">
        <v>164</v>
      </c>
      <c r="B113" s="3" t="s">
        <v>184</v>
      </c>
      <c r="C113" s="3" t="s">
        <v>185</v>
      </c>
    </row>
    <row r="114" spans="1:13" hidden="1" x14ac:dyDescent="0.2">
      <c r="A114" s="3">
        <v>1</v>
      </c>
      <c r="B114" s="89">
        <f>IF(AND($B$111="Y",C106="Y"),B52,B57)</f>
        <v>0</v>
      </c>
      <c r="C114" s="89">
        <f>IF(AND($B$111="Y",B106="Y"),0,B57)</f>
        <v>0</v>
      </c>
    </row>
    <row r="115" spans="1:13" hidden="1" x14ac:dyDescent="0.2">
      <c r="A115" s="3">
        <v>2</v>
      </c>
      <c r="B115" s="89">
        <f>IF(AND($B$111="Y",C107="Y"),C52,C57)</f>
        <v>0</v>
      </c>
      <c r="C115" s="89">
        <f>IF(AND($B$111="Y",B107="Y"),0,C57)</f>
        <v>0</v>
      </c>
    </row>
    <row r="116" spans="1:13" hidden="1" x14ac:dyDescent="0.2">
      <c r="A116" s="3">
        <v>3</v>
      </c>
      <c r="B116" s="89">
        <f>IF(AND($B$111="Y",C108="Y"),D52,D57)</f>
        <v>0</v>
      </c>
      <c r="C116" s="89">
        <f>IF(AND($B$111="Y",B108="Y"),0,D57)</f>
        <v>0</v>
      </c>
    </row>
    <row r="117" spans="1:13" hidden="1" x14ac:dyDescent="0.2">
      <c r="A117" s="178">
        <v>4</v>
      </c>
      <c r="B117" s="254">
        <f>IF(AND($B$111="Y",C109="Y"),E52,E57)</f>
        <v>0</v>
      </c>
      <c r="C117" s="254">
        <f>IF(AND($B$111="Y",B109="Y"),0,E57)</f>
        <v>0</v>
      </c>
    </row>
    <row r="118" spans="1:13" hidden="1" x14ac:dyDescent="0.2">
      <c r="A118" s="3" t="s">
        <v>186</v>
      </c>
      <c r="B118" s="89">
        <f>SUM(B114:B117)</f>
        <v>0</v>
      </c>
      <c r="C118" s="89">
        <f>SUM(C114:C117)</f>
        <v>0</v>
      </c>
    </row>
    <row r="119" spans="1:13" hidden="1" x14ac:dyDescent="0.2">
      <c r="A119" s="3" t="s">
        <v>187</v>
      </c>
      <c r="B119" s="227" t="str">
        <f>IF(B118&gt;=C118,"Y","N")</f>
        <v>Y</v>
      </c>
      <c r="C119" s="227" t="str">
        <f>IF(B118&lt;C118,"Y","N")</f>
        <v>N</v>
      </c>
    </row>
    <row r="120" spans="1:13" hidden="1" x14ac:dyDescent="0.2"/>
    <row r="121" spans="1:13" hidden="1" x14ac:dyDescent="0.2"/>
    <row r="122" spans="1:13" hidden="1" x14ac:dyDescent="0.2"/>
    <row r="123" spans="1:13" hidden="1" x14ac:dyDescent="0.2"/>
    <row r="124" spans="1:13" hidden="1" x14ac:dyDescent="0.2">
      <c r="A124" s="78" t="s">
        <v>188</v>
      </c>
      <c r="B124" s="3">
        <v>1</v>
      </c>
      <c r="C124" s="3">
        <f>B124+1</f>
        <v>2</v>
      </c>
      <c r="D124" s="3">
        <f t="shared" ref="D124:K124" si="30">C124+1</f>
        <v>3</v>
      </c>
      <c r="E124" s="3">
        <f t="shared" si="30"/>
        <v>4</v>
      </c>
      <c r="F124" s="3">
        <f t="shared" si="30"/>
        <v>5</v>
      </c>
      <c r="G124" s="3">
        <f t="shared" si="30"/>
        <v>6</v>
      </c>
      <c r="H124" s="3">
        <f t="shared" si="30"/>
        <v>7</v>
      </c>
      <c r="I124" s="3">
        <f t="shared" si="30"/>
        <v>8</v>
      </c>
      <c r="J124" s="3">
        <f t="shared" si="30"/>
        <v>9</v>
      </c>
      <c r="K124" s="3">
        <f t="shared" si="30"/>
        <v>10</v>
      </c>
      <c r="L124" s="78" t="s">
        <v>13</v>
      </c>
      <c r="M124" s="78" t="s">
        <v>189</v>
      </c>
    </row>
    <row r="125" spans="1:13" hidden="1" x14ac:dyDescent="0.2">
      <c r="A125" s="78" t="s">
        <v>190</v>
      </c>
      <c r="B125" s="212">
        <f>_xlfn.XLOOKUP(B124,'Properties &amp; Ind Income'!$A$3:$A$12,'Properties &amp; Ind Income'!$D$3:$D$12)</f>
        <v>0</v>
      </c>
      <c r="C125" s="212">
        <f>_xlfn.XLOOKUP(C124,'Properties &amp; Ind Income'!$A$3:$A$12,'Properties &amp; Ind Income'!$D$3:$D$12)</f>
        <v>0</v>
      </c>
      <c r="D125" s="212">
        <f>_xlfn.XLOOKUP(D124,'Properties &amp; Ind Income'!$A$3:$A$12,'Properties &amp; Ind Income'!$D$3:$D$12)</f>
        <v>0</v>
      </c>
      <c r="E125" s="212">
        <f>_xlfn.XLOOKUP(E124,'Properties &amp; Ind Income'!$A$3:$A$12,'Properties &amp; Ind Income'!$D$3:$D$12)</f>
        <v>0</v>
      </c>
      <c r="F125" s="212">
        <f>_xlfn.XLOOKUP(F124,'Properties &amp; Ind Income'!$A$3:$A$12,'Properties &amp; Ind Income'!$D$3:$D$12)</f>
        <v>0</v>
      </c>
      <c r="G125" s="212">
        <f>_xlfn.XLOOKUP(G124,'Properties &amp; Ind Income'!$A$3:$A$12,'Properties &amp; Ind Income'!$D$3:$D$12)</f>
        <v>0</v>
      </c>
      <c r="H125" s="212">
        <f>_xlfn.XLOOKUP(H124,'Properties &amp; Ind Income'!$A$3:$A$12,'Properties &amp; Ind Income'!$D$3:$D$12)</f>
        <v>0</v>
      </c>
      <c r="I125" s="212">
        <f>_xlfn.XLOOKUP(I124,'Properties &amp; Ind Income'!$A$3:$A$12,'Properties &amp; Ind Income'!$D$3:$D$12)</f>
        <v>0</v>
      </c>
      <c r="J125" s="212">
        <f>_xlfn.XLOOKUP(J124,'Properties &amp; Ind Income'!$A$3:$A$12,'Properties &amp; Ind Income'!$D$3:$D$12)</f>
        <v>0</v>
      </c>
      <c r="K125" s="212">
        <f>_xlfn.XLOOKUP(K124,'Properties &amp; Ind Income'!$A$3:$A$12,'Properties &amp; Ind Income'!$D$3:$D$12)</f>
        <v>0</v>
      </c>
      <c r="L125" s="213">
        <f>SUM(B125:K125)</f>
        <v>0</v>
      </c>
      <c r="M125" s="212">
        <f>SUMIFS(B125:K125,B126:K126,"Y")</f>
        <v>0</v>
      </c>
    </row>
    <row r="126" spans="1:13" hidden="1" x14ac:dyDescent="0.2">
      <c r="A126" s="78" t="s">
        <v>102</v>
      </c>
      <c r="B126" s="255" t="str" cm="1">
        <f t="array" ref="B126">IF(
  ( SUMPRODUCT((Loans!$K$4:$K$7=INDEX('Properties &amp; Ind Income'!$C$3:$C$12,B$124))
              *(Loans!$H$4:$H$7="Residential")*(Loans!$I$4:$I$7="Investment"))
  + SUMPRODUCT((TRIM(Loans!$T$4:$T$23)=INDEX('Properties &amp; Ind Income'!$C$3:$C$12,B$124))
              *(TRIM(Loans!$R$4:$R$23)="Resi Investment")) ) &gt; 0,
  "Y", "")</f>
        <v/>
      </c>
      <c r="C126" s="255" t="str" cm="1">
        <f t="array" ref="C126">IF(
  ( SUMPRODUCT((Loans!$K$4:$K$7=INDEX('Properties &amp; Ind Income'!$C$3:$C$12,C$124))
              *(Loans!$H$4:$H$7="Residential")*(Loans!$I$4:$I$7="Investment"))
  + SUMPRODUCT((TRIM(Loans!$T$4:$T$23)=INDEX('Properties &amp; Ind Income'!$C$3:$C$12,C$124))
              *(TRIM(Loans!$R$4:$R$23)="Resi Investment")) ) &gt; 0,
  "Y", "")</f>
        <v/>
      </c>
      <c r="D126" s="255" t="str" cm="1">
        <f t="array" ref="D126">IF(
  ( SUMPRODUCT((Loans!$K$4:$K$7=INDEX('Properties &amp; Ind Income'!$C$3:$C$12,D$124))
              *(Loans!$H$4:$H$7="Residential")*(Loans!$I$4:$I$7="Investment"))
  + SUMPRODUCT((TRIM(Loans!$T$4:$T$23)=INDEX('Properties &amp; Ind Income'!$C$3:$C$12,D$124))
              *(TRIM(Loans!$R$4:$R$23)="Resi Investment")) ) &gt; 0,
  "Y", "")</f>
        <v/>
      </c>
      <c r="E126" s="255" t="str" cm="1">
        <f t="array" ref="E126">IF(
  ( SUMPRODUCT((Loans!$K$4:$K$7=INDEX('Properties &amp; Ind Income'!$C$3:$C$12,E$124))
              *(Loans!$H$4:$H$7="Residential")*(Loans!$I$4:$I$7="Investment"))
  + SUMPRODUCT((TRIM(Loans!$T$4:$T$23)=INDEX('Properties &amp; Ind Income'!$C$3:$C$12,E$124))
              *(TRIM(Loans!$R$4:$R$23)="Resi Investment")) ) &gt; 0,
  "Y", "")</f>
        <v/>
      </c>
      <c r="F126" s="255" t="str" cm="1">
        <f t="array" ref="F126">IF(
  ( SUMPRODUCT((Loans!$K$4:$K$7=INDEX('Properties &amp; Ind Income'!$C$3:$C$12,F$124))
              *(Loans!$H$4:$H$7="Residential")*(Loans!$I$4:$I$7="Investment"))
  + SUMPRODUCT((TRIM(Loans!$T$4:$T$23)=INDEX('Properties &amp; Ind Income'!$C$3:$C$12,F$124))
              *(TRIM(Loans!$R$4:$R$23)="Resi Investment")) ) &gt; 0,
  "Y", "")</f>
        <v/>
      </c>
      <c r="G126" s="255" t="str" cm="1">
        <f t="array" ref="G126">IF(
  ( SUMPRODUCT((Loans!$K$4:$K$7=INDEX('Properties &amp; Ind Income'!$C$3:$C$12,G$124))
              *(Loans!$H$4:$H$7="Residential")*(Loans!$I$4:$I$7="Investment"))
  + SUMPRODUCT((TRIM(Loans!$T$4:$T$23)=INDEX('Properties &amp; Ind Income'!$C$3:$C$12,G$124))
              *(TRIM(Loans!$R$4:$R$23)="Resi Investment")) ) &gt; 0,
  "Y", "")</f>
        <v/>
      </c>
      <c r="H126" s="255" t="str" cm="1">
        <f t="array" ref="H126">IF(
  ( SUMPRODUCT((Loans!$K$4:$K$7=INDEX('Properties &amp; Ind Income'!$C$3:$C$12,H$124))
              *(Loans!$H$4:$H$7="Residential")*(Loans!$I$4:$I$7="Investment"))
  + SUMPRODUCT((TRIM(Loans!$T$4:$T$23)=INDEX('Properties &amp; Ind Income'!$C$3:$C$12,H$124))
              *(TRIM(Loans!$R$4:$R$23)="Resi Investment")) ) &gt; 0,
  "Y", "")</f>
        <v/>
      </c>
      <c r="I126" s="255" t="str" cm="1">
        <f t="array" ref="I126">IF(
  ( SUMPRODUCT((Loans!$K$4:$K$7=INDEX('Properties &amp; Ind Income'!$C$3:$C$12,I$124))
              *(Loans!$H$4:$H$7="Residential")*(Loans!$I$4:$I$7="Investment"))
  + SUMPRODUCT((TRIM(Loans!$T$4:$T$23)=INDEX('Properties &amp; Ind Income'!$C$3:$C$12,I$124))
              *(TRIM(Loans!$R$4:$R$23)="Resi Investment")) ) &gt; 0,
  "Y", "")</f>
        <v/>
      </c>
      <c r="J126" s="255" t="str" cm="1">
        <f t="array" ref="J126">IF(
  ( SUMPRODUCT((Loans!$K$4:$K$7=INDEX('Properties &amp; Ind Income'!$C$3:$C$12,J$124))
              *(Loans!$H$4:$H$7="Residential")*(Loans!$I$4:$I$7="Investment"))
  + SUMPRODUCT((TRIM(Loans!$T$4:$T$23)=INDEX('Properties &amp; Ind Income'!$C$3:$C$12,J$124))
              *(TRIM(Loans!$R$4:$R$23)="Resi Investment")) ) &gt; 0,
  "Y", "")</f>
        <v/>
      </c>
      <c r="K126" s="255" t="str" cm="1">
        <f t="array" ref="K126">IF(
  ( SUMPRODUCT((Loans!$K$4:$K$7=INDEX('Properties &amp; Ind Income'!$C$3:$C$12,K$124))
              *(Loans!$H$4:$H$7="Residential")*(Loans!$I$4:$I$7="Investment"))
  + SUMPRODUCT((TRIM(Loans!$T$4:$T$23)=INDEX('Properties &amp; Ind Income'!$C$3:$C$12,K$124))
              *(TRIM(Loans!$R$4:$R$23)="Resi Investment")) ) &gt; 0,
  "Y", "")</f>
        <v/>
      </c>
      <c r="L126" s="213"/>
    </row>
    <row r="127" spans="1:13" hidden="1" x14ac:dyDescent="0.2"/>
    <row r="128" spans="1:13" hidden="1" x14ac:dyDescent="0.2">
      <c r="A128" s="78" t="s">
        <v>188</v>
      </c>
      <c r="B128" s="3">
        <f>B124</f>
        <v>1</v>
      </c>
      <c r="C128" s="3">
        <f t="shared" ref="C128:K128" si="31">C124</f>
        <v>2</v>
      </c>
      <c r="D128" s="3">
        <f t="shared" si="31"/>
        <v>3</v>
      </c>
      <c r="E128" s="3">
        <f t="shared" si="31"/>
        <v>4</v>
      </c>
      <c r="F128" s="3">
        <f t="shared" si="31"/>
        <v>5</v>
      </c>
      <c r="G128" s="3">
        <f t="shared" si="31"/>
        <v>6</v>
      </c>
      <c r="H128" s="3">
        <f t="shared" si="31"/>
        <v>7</v>
      </c>
      <c r="I128" s="3">
        <f t="shared" si="31"/>
        <v>8</v>
      </c>
      <c r="J128" s="3">
        <f t="shared" si="31"/>
        <v>9</v>
      </c>
      <c r="K128" s="3">
        <f t="shared" si="31"/>
        <v>10</v>
      </c>
    </row>
    <row r="129" spans="1:26" hidden="1" x14ac:dyDescent="0.2">
      <c r="A129" s="78" t="s">
        <v>191</v>
      </c>
      <c r="L129" s="78" t="s">
        <v>190</v>
      </c>
      <c r="M129" s="78" t="s">
        <v>189</v>
      </c>
    </row>
    <row r="130" spans="1:26" hidden="1" x14ac:dyDescent="0.2">
      <c r="A130" s="3">
        <v>1</v>
      </c>
      <c r="B130" s="213">
        <f>_xlfn.IFNA(B$125*_xlfn.XLOOKUP($A130,'Properties &amp; Ind Income'!$A$18:$A$29,'Properties &amp; Ind Income'!D$18:D$29),0)</f>
        <v>0</v>
      </c>
      <c r="C130" s="213">
        <f>_xlfn.IFNA(C$125*_xlfn.XLOOKUP($A130,'Properties &amp; Ind Income'!$A$18:$A$29,'Properties &amp; Ind Income'!E$18:E$29),0)</f>
        <v>0</v>
      </c>
      <c r="D130" s="213">
        <f>_xlfn.IFNA(D$125*_xlfn.XLOOKUP($A130,'Properties &amp; Ind Income'!$A$18:$A$29,'Properties &amp; Ind Income'!F$18:F$29),0)</f>
        <v>0</v>
      </c>
      <c r="E130" s="213">
        <f>_xlfn.IFNA(E$125*_xlfn.XLOOKUP($A130,'Properties &amp; Ind Income'!$A$18:$A$29,'Properties &amp; Ind Income'!G$18:G$29),0)</f>
        <v>0</v>
      </c>
      <c r="F130" s="213">
        <f>_xlfn.IFNA(F$125*_xlfn.XLOOKUP($A130,'Properties &amp; Ind Income'!$A$18:$A$29,'Properties &amp; Ind Income'!H$18:H$29),0)</f>
        <v>0</v>
      </c>
      <c r="G130" s="213">
        <f>_xlfn.IFNA(G$125*_xlfn.XLOOKUP($A130,'Properties &amp; Ind Income'!$A$18:$A$29,'Properties &amp; Ind Income'!I$18:I$29),0)</f>
        <v>0</v>
      </c>
      <c r="H130" s="213">
        <f>_xlfn.IFNA(H$125*_xlfn.XLOOKUP($A130,'Properties &amp; Ind Income'!$A$18:$A$29,'Properties &amp; Ind Income'!J$18:J$29),0)</f>
        <v>0</v>
      </c>
      <c r="I130" s="213">
        <f>_xlfn.IFNA(I$125*_xlfn.XLOOKUP($A130,'Properties &amp; Ind Income'!$A$18:$A$29,'Properties &amp; Ind Income'!K$18:K$29),0)</f>
        <v>0</v>
      </c>
      <c r="J130" s="213">
        <f>_xlfn.IFNA(J$125*_xlfn.XLOOKUP($A130,'Properties &amp; Ind Income'!$A$18:$A$29,'Properties &amp; Ind Income'!L$18:L$29),0)</f>
        <v>0</v>
      </c>
      <c r="K130" s="213">
        <f>_xlfn.IFNA(K$125*_xlfn.XLOOKUP($A130,'Properties &amp; Ind Income'!$A$18:$A$29,'Properties &amp; Ind Income'!M$18:M$29),0)</f>
        <v>0</v>
      </c>
      <c r="L130" s="213">
        <f>SUM(B130:K130)</f>
        <v>0</v>
      </c>
      <c r="M130" s="212" cm="1">
        <f t="array" ref="M130">SUMPRODUCT(B130:K130,--(B$126:K$126="Y"))</f>
        <v>0</v>
      </c>
    </row>
    <row r="131" spans="1:26" hidden="1" x14ac:dyDescent="0.2">
      <c r="A131" s="3">
        <f>A130+1</f>
        <v>2</v>
      </c>
      <c r="B131" s="213">
        <f>_xlfn.IFNA(B$125*_xlfn.XLOOKUP($A131,'Properties &amp; Ind Income'!$A$18:$A$29,'Properties &amp; Ind Income'!D$18:D$29),0)</f>
        <v>0</v>
      </c>
      <c r="C131" s="213">
        <f>_xlfn.IFNA(C$125*_xlfn.XLOOKUP($A131,'Properties &amp; Ind Income'!$A$18:$A$29,'Properties &amp; Ind Income'!E$18:E$29),0)</f>
        <v>0</v>
      </c>
      <c r="D131" s="213">
        <f>_xlfn.IFNA(D$125*_xlfn.XLOOKUP($A131,'Properties &amp; Ind Income'!$A$18:$A$29,'Properties &amp; Ind Income'!F$18:F$29),0)</f>
        <v>0</v>
      </c>
      <c r="E131" s="213">
        <f>_xlfn.IFNA(E$125*_xlfn.XLOOKUP($A131,'Properties &amp; Ind Income'!$A$18:$A$29,'Properties &amp; Ind Income'!G$18:G$29),0)</f>
        <v>0</v>
      </c>
      <c r="F131" s="213">
        <f>_xlfn.IFNA(F$125*_xlfn.XLOOKUP($A131,'Properties &amp; Ind Income'!$A$18:$A$29,'Properties &amp; Ind Income'!H$18:H$29),0)</f>
        <v>0</v>
      </c>
      <c r="G131" s="213">
        <f>_xlfn.IFNA(G$125*_xlfn.XLOOKUP($A131,'Properties &amp; Ind Income'!$A$18:$A$29,'Properties &amp; Ind Income'!I$18:I$29),0)</f>
        <v>0</v>
      </c>
      <c r="H131" s="213">
        <f>_xlfn.IFNA(H$125*_xlfn.XLOOKUP($A131,'Properties &amp; Ind Income'!$A$18:$A$29,'Properties &amp; Ind Income'!J$18:J$29),0)</f>
        <v>0</v>
      </c>
      <c r="I131" s="213">
        <f>_xlfn.IFNA(I$125*_xlfn.XLOOKUP($A131,'Properties &amp; Ind Income'!$A$18:$A$29,'Properties &amp; Ind Income'!K$18:K$29),0)</f>
        <v>0</v>
      </c>
      <c r="J131" s="213">
        <f>_xlfn.IFNA(J$125*_xlfn.XLOOKUP($A131,'Properties &amp; Ind Income'!$A$18:$A$29,'Properties &amp; Ind Income'!L$18:L$29),0)</f>
        <v>0</v>
      </c>
      <c r="K131" s="213">
        <f>_xlfn.IFNA(K$125*_xlfn.XLOOKUP($A131,'Properties &amp; Ind Income'!$A$18:$A$29,'Properties &amp; Ind Income'!M$18:M$29),0)</f>
        <v>0</v>
      </c>
      <c r="L131" s="213">
        <f t="shared" ref="L131:L141" si="32">SUM(B131:K131)</f>
        <v>0</v>
      </c>
      <c r="M131" s="212" cm="1">
        <f t="array" ref="M131">SUMPRODUCT(B131:K131,--(B$126:K$126="Y"))</f>
        <v>0</v>
      </c>
    </row>
    <row r="132" spans="1:26" hidden="1" x14ac:dyDescent="0.2">
      <c r="A132" s="3">
        <f t="shared" ref="A132:A141" si="33">A131+1</f>
        <v>3</v>
      </c>
      <c r="B132" s="213">
        <f>_xlfn.IFNA(B$125*_xlfn.XLOOKUP($A132,'Properties &amp; Ind Income'!$A$18:$A$29,'Properties &amp; Ind Income'!D$18:D$29),0)</f>
        <v>0</v>
      </c>
      <c r="C132" s="213">
        <f>_xlfn.IFNA(C$125*_xlfn.XLOOKUP($A132,'Properties &amp; Ind Income'!$A$18:$A$29,'Properties &amp; Ind Income'!E$18:E$29),0)</f>
        <v>0</v>
      </c>
      <c r="D132" s="213">
        <f>_xlfn.IFNA(D$125*_xlfn.XLOOKUP($A132,'Properties &amp; Ind Income'!$A$18:$A$29,'Properties &amp; Ind Income'!F$18:F$29),0)</f>
        <v>0</v>
      </c>
      <c r="E132" s="213">
        <f>_xlfn.IFNA(E$125*_xlfn.XLOOKUP($A132,'Properties &amp; Ind Income'!$A$18:$A$29,'Properties &amp; Ind Income'!G$18:G$29),0)</f>
        <v>0</v>
      </c>
      <c r="F132" s="213">
        <f>_xlfn.IFNA(F$125*_xlfn.XLOOKUP($A132,'Properties &amp; Ind Income'!$A$18:$A$29,'Properties &amp; Ind Income'!H$18:H$29),0)</f>
        <v>0</v>
      </c>
      <c r="G132" s="213">
        <f>_xlfn.IFNA(G$125*_xlfn.XLOOKUP($A132,'Properties &amp; Ind Income'!$A$18:$A$29,'Properties &amp; Ind Income'!I$18:I$29),0)</f>
        <v>0</v>
      </c>
      <c r="H132" s="213">
        <f>_xlfn.IFNA(H$125*_xlfn.XLOOKUP($A132,'Properties &amp; Ind Income'!$A$18:$A$29,'Properties &amp; Ind Income'!J$18:J$29),0)</f>
        <v>0</v>
      </c>
      <c r="I132" s="213">
        <f>_xlfn.IFNA(I$125*_xlfn.XLOOKUP($A132,'Properties &amp; Ind Income'!$A$18:$A$29,'Properties &amp; Ind Income'!K$18:K$29),0)</f>
        <v>0</v>
      </c>
      <c r="J132" s="213">
        <f>_xlfn.IFNA(J$125*_xlfn.XLOOKUP($A132,'Properties &amp; Ind Income'!$A$18:$A$29,'Properties &amp; Ind Income'!L$18:L$29),0)</f>
        <v>0</v>
      </c>
      <c r="K132" s="213">
        <f>_xlfn.IFNA(K$125*_xlfn.XLOOKUP($A132,'Properties &amp; Ind Income'!$A$18:$A$29,'Properties &amp; Ind Income'!M$18:M$29),0)</f>
        <v>0</v>
      </c>
      <c r="L132" s="213">
        <f t="shared" si="32"/>
        <v>0</v>
      </c>
      <c r="M132" s="212" cm="1">
        <f t="array" ref="M132">SUMPRODUCT(B132:K132,--(B$126:K$126="Y"))</f>
        <v>0</v>
      </c>
    </row>
    <row r="133" spans="1:26" hidden="1" x14ac:dyDescent="0.2">
      <c r="A133" s="3">
        <f t="shared" si="33"/>
        <v>4</v>
      </c>
      <c r="B133" s="213">
        <f>_xlfn.IFNA(B$125*_xlfn.XLOOKUP($A133,'Properties &amp; Ind Income'!$A$18:$A$29,'Properties &amp; Ind Income'!D$18:D$29),0)</f>
        <v>0</v>
      </c>
      <c r="C133" s="213">
        <f>_xlfn.IFNA(C$125*_xlfn.XLOOKUP($A133,'Properties &amp; Ind Income'!$A$18:$A$29,'Properties &amp; Ind Income'!E$18:E$29),0)</f>
        <v>0</v>
      </c>
      <c r="D133" s="213">
        <f>_xlfn.IFNA(D$125*_xlfn.XLOOKUP($A133,'Properties &amp; Ind Income'!$A$18:$A$29,'Properties &amp; Ind Income'!F$18:F$29),0)</f>
        <v>0</v>
      </c>
      <c r="E133" s="213">
        <f>_xlfn.IFNA(E$125*_xlfn.XLOOKUP($A133,'Properties &amp; Ind Income'!$A$18:$A$29,'Properties &amp; Ind Income'!G$18:G$29),0)</f>
        <v>0</v>
      </c>
      <c r="F133" s="213">
        <f>_xlfn.IFNA(F$125*_xlfn.XLOOKUP($A133,'Properties &amp; Ind Income'!$A$18:$A$29,'Properties &amp; Ind Income'!H$18:H$29),0)</f>
        <v>0</v>
      </c>
      <c r="G133" s="213">
        <f>_xlfn.IFNA(G$125*_xlfn.XLOOKUP($A133,'Properties &amp; Ind Income'!$A$18:$A$29,'Properties &amp; Ind Income'!I$18:I$29),0)</f>
        <v>0</v>
      </c>
      <c r="H133" s="213">
        <f>_xlfn.IFNA(H$125*_xlfn.XLOOKUP($A133,'Properties &amp; Ind Income'!$A$18:$A$29,'Properties &amp; Ind Income'!J$18:J$29),0)</f>
        <v>0</v>
      </c>
      <c r="I133" s="213">
        <f>_xlfn.IFNA(I$125*_xlfn.XLOOKUP($A133,'Properties &amp; Ind Income'!$A$18:$A$29,'Properties &amp; Ind Income'!K$18:K$29),0)</f>
        <v>0</v>
      </c>
      <c r="J133" s="213">
        <f>_xlfn.IFNA(J$125*_xlfn.XLOOKUP($A133,'Properties &amp; Ind Income'!$A$18:$A$29,'Properties &amp; Ind Income'!L$18:L$29),0)</f>
        <v>0</v>
      </c>
      <c r="K133" s="213">
        <f>_xlfn.IFNA(K$125*_xlfn.XLOOKUP($A133,'Properties &amp; Ind Income'!$A$18:$A$29,'Properties &amp; Ind Income'!M$18:M$29),0)</f>
        <v>0</v>
      </c>
      <c r="L133" s="213">
        <f t="shared" si="32"/>
        <v>0</v>
      </c>
      <c r="M133" s="212" cm="1">
        <f t="array" ref="M133">SUMPRODUCT(B133:K133,--(B$126:K$126="Y"))</f>
        <v>0</v>
      </c>
    </row>
    <row r="134" spans="1:26" hidden="1" x14ac:dyDescent="0.2">
      <c r="A134" s="3">
        <f t="shared" si="33"/>
        <v>5</v>
      </c>
      <c r="B134" s="213">
        <f>_xlfn.IFNA(B$125*_xlfn.XLOOKUP($A134,'Properties &amp; Ind Income'!$A$18:$A$29,'Properties &amp; Ind Income'!D$18:D$29),0)</f>
        <v>0</v>
      </c>
      <c r="C134" s="213">
        <f>_xlfn.IFNA(C$125*_xlfn.XLOOKUP($A134,'Properties &amp; Ind Income'!$A$18:$A$29,'Properties &amp; Ind Income'!E$18:E$29),0)</f>
        <v>0</v>
      </c>
      <c r="D134" s="213">
        <f>_xlfn.IFNA(D$125*_xlfn.XLOOKUP($A134,'Properties &amp; Ind Income'!$A$18:$A$29,'Properties &amp; Ind Income'!F$18:F$29),0)</f>
        <v>0</v>
      </c>
      <c r="E134" s="213">
        <f>_xlfn.IFNA(E$125*_xlfn.XLOOKUP($A134,'Properties &amp; Ind Income'!$A$18:$A$29,'Properties &amp; Ind Income'!G$18:G$29),0)</f>
        <v>0</v>
      </c>
      <c r="F134" s="213">
        <f>_xlfn.IFNA(F$125*_xlfn.XLOOKUP($A134,'Properties &amp; Ind Income'!$A$18:$A$29,'Properties &amp; Ind Income'!H$18:H$29),0)</f>
        <v>0</v>
      </c>
      <c r="G134" s="213">
        <f>_xlfn.IFNA(G$125*_xlfn.XLOOKUP($A134,'Properties &amp; Ind Income'!$A$18:$A$29,'Properties &amp; Ind Income'!I$18:I$29),0)</f>
        <v>0</v>
      </c>
      <c r="H134" s="213">
        <f>_xlfn.IFNA(H$125*_xlfn.XLOOKUP($A134,'Properties &amp; Ind Income'!$A$18:$A$29,'Properties &amp; Ind Income'!J$18:J$29),0)</f>
        <v>0</v>
      </c>
      <c r="I134" s="213">
        <f>_xlfn.IFNA(I$125*_xlfn.XLOOKUP($A134,'Properties &amp; Ind Income'!$A$18:$A$29,'Properties &amp; Ind Income'!K$18:K$29),0)</f>
        <v>0</v>
      </c>
      <c r="J134" s="213">
        <f>_xlfn.IFNA(J$125*_xlfn.XLOOKUP($A134,'Properties &amp; Ind Income'!$A$18:$A$29,'Properties &amp; Ind Income'!L$18:L$29),0)</f>
        <v>0</v>
      </c>
      <c r="K134" s="213">
        <f>_xlfn.IFNA(K$125*_xlfn.XLOOKUP($A134,'Properties &amp; Ind Income'!$A$18:$A$29,'Properties &amp; Ind Income'!M$18:M$29),0)</f>
        <v>0</v>
      </c>
      <c r="L134" s="213">
        <f t="shared" si="32"/>
        <v>0</v>
      </c>
      <c r="M134" s="212" cm="1">
        <f t="array" ref="M134">SUMPRODUCT(B134:K134,--(B$126:K$126="Y"))</f>
        <v>0</v>
      </c>
    </row>
    <row r="135" spans="1:26" hidden="1" x14ac:dyDescent="0.2">
      <c r="A135" s="3">
        <f t="shared" si="33"/>
        <v>6</v>
      </c>
      <c r="B135" s="213">
        <f>_xlfn.IFNA(B$125*_xlfn.XLOOKUP($A135,'Properties &amp; Ind Income'!$A$18:$A$29,'Properties &amp; Ind Income'!D$18:D$29),0)</f>
        <v>0</v>
      </c>
      <c r="C135" s="213">
        <f>_xlfn.IFNA(C$125*_xlfn.XLOOKUP($A135,'Properties &amp; Ind Income'!$A$18:$A$29,'Properties &amp; Ind Income'!E$18:E$29),0)</f>
        <v>0</v>
      </c>
      <c r="D135" s="213">
        <f>_xlfn.IFNA(D$125*_xlfn.XLOOKUP($A135,'Properties &amp; Ind Income'!$A$18:$A$29,'Properties &amp; Ind Income'!F$18:F$29),0)</f>
        <v>0</v>
      </c>
      <c r="E135" s="213">
        <f>_xlfn.IFNA(E$125*_xlfn.XLOOKUP($A135,'Properties &amp; Ind Income'!$A$18:$A$29,'Properties &amp; Ind Income'!G$18:G$29),0)</f>
        <v>0</v>
      </c>
      <c r="F135" s="213">
        <f>_xlfn.IFNA(F$125*_xlfn.XLOOKUP($A135,'Properties &amp; Ind Income'!$A$18:$A$29,'Properties &amp; Ind Income'!H$18:H$29),0)</f>
        <v>0</v>
      </c>
      <c r="G135" s="213">
        <f>_xlfn.IFNA(G$125*_xlfn.XLOOKUP($A135,'Properties &amp; Ind Income'!$A$18:$A$29,'Properties &amp; Ind Income'!I$18:I$29),0)</f>
        <v>0</v>
      </c>
      <c r="H135" s="213">
        <f>_xlfn.IFNA(H$125*_xlfn.XLOOKUP($A135,'Properties &amp; Ind Income'!$A$18:$A$29,'Properties &amp; Ind Income'!J$18:J$29),0)</f>
        <v>0</v>
      </c>
      <c r="I135" s="213">
        <f>_xlfn.IFNA(I$125*_xlfn.XLOOKUP($A135,'Properties &amp; Ind Income'!$A$18:$A$29,'Properties &amp; Ind Income'!K$18:K$29),0)</f>
        <v>0</v>
      </c>
      <c r="J135" s="213">
        <f>_xlfn.IFNA(J$125*_xlfn.XLOOKUP($A135,'Properties &amp; Ind Income'!$A$18:$A$29,'Properties &amp; Ind Income'!L$18:L$29),0)</f>
        <v>0</v>
      </c>
      <c r="K135" s="213">
        <f>_xlfn.IFNA(K$125*_xlfn.XLOOKUP($A135,'Properties &amp; Ind Income'!$A$18:$A$29,'Properties &amp; Ind Income'!M$18:M$29),0)</f>
        <v>0</v>
      </c>
      <c r="L135" s="213">
        <f t="shared" si="32"/>
        <v>0</v>
      </c>
      <c r="M135" s="212" cm="1">
        <f t="array" ref="M135">SUMPRODUCT(B135:K135,--(B$126:K$126="Y"))</f>
        <v>0</v>
      </c>
    </row>
    <row r="136" spans="1:26" hidden="1" x14ac:dyDescent="0.2">
      <c r="A136" s="3">
        <f t="shared" si="33"/>
        <v>7</v>
      </c>
      <c r="B136" s="213">
        <f>_xlfn.IFNA(B$125*_xlfn.XLOOKUP($A136,'Properties &amp; Ind Income'!$A$18:$A$29,'Properties &amp; Ind Income'!D$18:D$29),0)</f>
        <v>0</v>
      </c>
      <c r="C136" s="213">
        <f>_xlfn.IFNA(C$125*_xlfn.XLOOKUP($A136,'Properties &amp; Ind Income'!$A$18:$A$29,'Properties &amp; Ind Income'!E$18:E$29),0)</f>
        <v>0</v>
      </c>
      <c r="D136" s="213">
        <f>_xlfn.IFNA(D$125*_xlfn.XLOOKUP($A136,'Properties &amp; Ind Income'!$A$18:$A$29,'Properties &amp; Ind Income'!F$18:F$29),0)</f>
        <v>0</v>
      </c>
      <c r="E136" s="213">
        <f>_xlfn.IFNA(E$125*_xlfn.XLOOKUP($A136,'Properties &amp; Ind Income'!$A$18:$A$29,'Properties &amp; Ind Income'!G$18:G$29),0)</f>
        <v>0</v>
      </c>
      <c r="F136" s="213">
        <f>_xlfn.IFNA(F$125*_xlfn.XLOOKUP($A136,'Properties &amp; Ind Income'!$A$18:$A$29,'Properties &amp; Ind Income'!H$18:H$29),0)</f>
        <v>0</v>
      </c>
      <c r="G136" s="213">
        <f>_xlfn.IFNA(G$125*_xlfn.XLOOKUP($A136,'Properties &amp; Ind Income'!$A$18:$A$29,'Properties &amp; Ind Income'!I$18:I$29),0)</f>
        <v>0</v>
      </c>
      <c r="H136" s="213">
        <f>_xlfn.IFNA(H$125*_xlfn.XLOOKUP($A136,'Properties &amp; Ind Income'!$A$18:$A$29,'Properties &amp; Ind Income'!J$18:J$29),0)</f>
        <v>0</v>
      </c>
      <c r="I136" s="213">
        <f>_xlfn.IFNA(I$125*_xlfn.XLOOKUP($A136,'Properties &amp; Ind Income'!$A$18:$A$29,'Properties &amp; Ind Income'!K$18:K$29),0)</f>
        <v>0</v>
      </c>
      <c r="J136" s="213">
        <f>_xlfn.IFNA(J$125*_xlfn.XLOOKUP($A136,'Properties &amp; Ind Income'!$A$18:$A$29,'Properties &amp; Ind Income'!L$18:L$29),0)</f>
        <v>0</v>
      </c>
      <c r="K136" s="213">
        <f>_xlfn.IFNA(K$125*_xlfn.XLOOKUP($A136,'Properties &amp; Ind Income'!$A$18:$A$29,'Properties &amp; Ind Income'!M$18:M$29),0)</f>
        <v>0</v>
      </c>
      <c r="L136" s="213">
        <f t="shared" si="32"/>
        <v>0</v>
      </c>
      <c r="M136" s="212" cm="1">
        <f t="array" ref="M136">SUMPRODUCT(B136:K136,--(B$126:K$126="Y"))</f>
        <v>0</v>
      </c>
    </row>
    <row r="137" spans="1:26" hidden="1" x14ac:dyDescent="0.2">
      <c r="A137" s="3">
        <f t="shared" si="33"/>
        <v>8</v>
      </c>
      <c r="B137" s="213">
        <f>_xlfn.IFNA(B$125*_xlfn.XLOOKUP($A137,'Properties &amp; Ind Income'!$A$18:$A$29,'Properties &amp; Ind Income'!D$18:D$29),0)</f>
        <v>0</v>
      </c>
      <c r="C137" s="213">
        <f>_xlfn.IFNA(C$125*_xlfn.XLOOKUP($A137,'Properties &amp; Ind Income'!$A$18:$A$29,'Properties &amp; Ind Income'!E$18:E$29),0)</f>
        <v>0</v>
      </c>
      <c r="D137" s="213">
        <f>_xlfn.IFNA(D$125*_xlfn.XLOOKUP($A137,'Properties &amp; Ind Income'!$A$18:$A$29,'Properties &amp; Ind Income'!F$18:F$29),0)</f>
        <v>0</v>
      </c>
      <c r="E137" s="213">
        <f>_xlfn.IFNA(E$125*_xlfn.XLOOKUP($A137,'Properties &amp; Ind Income'!$A$18:$A$29,'Properties &amp; Ind Income'!G$18:G$29),0)</f>
        <v>0</v>
      </c>
      <c r="F137" s="213">
        <f>_xlfn.IFNA(F$125*_xlfn.XLOOKUP($A137,'Properties &amp; Ind Income'!$A$18:$A$29,'Properties &amp; Ind Income'!H$18:H$29),0)</f>
        <v>0</v>
      </c>
      <c r="G137" s="213">
        <f>_xlfn.IFNA(G$125*_xlfn.XLOOKUP($A137,'Properties &amp; Ind Income'!$A$18:$A$29,'Properties &amp; Ind Income'!I$18:I$29),0)</f>
        <v>0</v>
      </c>
      <c r="H137" s="213">
        <f>_xlfn.IFNA(H$125*_xlfn.XLOOKUP($A137,'Properties &amp; Ind Income'!$A$18:$A$29,'Properties &amp; Ind Income'!J$18:J$29),0)</f>
        <v>0</v>
      </c>
      <c r="I137" s="213">
        <f>_xlfn.IFNA(I$125*_xlfn.XLOOKUP($A137,'Properties &amp; Ind Income'!$A$18:$A$29,'Properties &amp; Ind Income'!K$18:K$29),0)</f>
        <v>0</v>
      </c>
      <c r="J137" s="213">
        <f>_xlfn.IFNA(J$125*_xlfn.XLOOKUP($A137,'Properties &amp; Ind Income'!$A$18:$A$29,'Properties &amp; Ind Income'!L$18:L$29),0)</f>
        <v>0</v>
      </c>
      <c r="K137" s="213">
        <f>_xlfn.IFNA(K$125*_xlfn.XLOOKUP($A137,'Properties &amp; Ind Income'!$A$18:$A$29,'Properties &amp; Ind Income'!M$18:M$29),0)</f>
        <v>0</v>
      </c>
      <c r="L137" s="213">
        <f t="shared" si="32"/>
        <v>0</v>
      </c>
      <c r="M137" s="212" cm="1">
        <f t="array" ref="M137">SUMPRODUCT(B137:K137,--(B$126:K$126="Y"))</f>
        <v>0</v>
      </c>
    </row>
    <row r="138" spans="1:26" hidden="1" x14ac:dyDescent="0.2">
      <c r="A138" s="3">
        <f t="shared" si="33"/>
        <v>9</v>
      </c>
      <c r="B138" s="213">
        <f>_xlfn.IFNA(B$125*_xlfn.XLOOKUP($A138,'Properties &amp; Ind Income'!$A$18:$A$29,'Properties &amp; Ind Income'!D$18:D$29),0)</f>
        <v>0</v>
      </c>
      <c r="C138" s="213">
        <f>_xlfn.IFNA(C$125*_xlfn.XLOOKUP($A138,'Properties &amp; Ind Income'!$A$18:$A$29,'Properties &amp; Ind Income'!E$18:E$29),0)</f>
        <v>0</v>
      </c>
      <c r="D138" s="213">
        <f>_xlfn.IFNA(D$125*_xlfn.XLOOKUP($A138,'Properties &amp; Ind Income'!$A$18:$A$29,'Properties &amp; Ind Income'!F$18:F$29),0)</f>
        <v>0</v>
      </c>
      <c r="E138" s="213">
        <f>_xlfn.IFNA(E$125*_xlfn.XLOOKUP($A138,'Properties &amp; Ind Income'!$A$18:$A$29,'Properties &amp; Ind Income'!G$18:G$29),0)</f>
        <v>0</v>
      </c>
      <c r="F138" s="213">
        <f>_xlfn.IFNA(F$125*_xlfn.XLOOKUP($A138,'Properties &amp; Ind Income'!$A$18:$A$29,'Properties &amp; Ind Income'!H$18:H$29),0)</f>
        <v>0</v>
      </c>
      <c r="G138" s="213">
        <f>_xlfn.IFNA(G$125*_xlfn.XLOOKUP($A138,'Properties &amp; Ind Income'!$A$18:$A$29,'Properties &amp; Ind Income'!I$18:I$29),0)</f>
        <v>0</v>
      </c>
      <c r="H138" s="213">
        <f>_xlfn.IFNA(H$125*_xlfn.XLOOKUP($A138,'Properties &amp; Ind Income'!$A$18:$A$29,'Properties &amp; Ind Income'!J$18:J$29),0)</f>
        <v>0</v>
      </c>
      <c r="I138" s="213">
        <f>_xlfn.IFNA(I$125*_xlfn.XLOOKUP($A138,'Properties &amp; Ind Income'!$A$18:$A$29,'Properties &amp; Ind Income'!K$18:K$29),0)</f>
        <v>0</v>
      </c>
      <c r="J138" s="213">
        <f>_xlfn.IFNA(J$125*_xlfn.XLOOKUP($A138,'Properties &amp; Ind Income'!$A$18:$A$29,'Properties &amp; Ind Income'!L$18:L$29),0)</f>
        <v>0</v>
      </c>
      <c r="K138" s="213">
        <f>_xlfn.IFNA(K$125*_xlfn.XLOOKUP($A138,'Properties &amp; Ind Income'!$A$18:$A$29,'Properties &amp; Ind Income'!M$18:M$29),0)</f>
        <v>0</v>
      </c>
      <c r="L138" s="213">
        <f t="shared" si="32"/>
        <v>0</v>
      </c>
      <c r="M138" s="212" cm="1">
        <f t="array" ref="M138">SUMPRODUCT(B138:K138,--(B$126:K$126="Y"))</f>
        <v>0</v>
      </c>
    </row>
    <row r="139" spans="1:26" hidden="1" x14ac:dyDescent="0.2">
      <c r="A139" s="3">
        <f t="shared" si="33"/>
        <v>10</v>
      </c>
      <c r="B139" s="213">
        <f>_xlfn.IFNA(B$125*_xlfn.XLOOKUP($A139,'Properties &amp; Ind Income'!$A$18:$A$29,'Properties &amp; Ind Income'!D$18:D$29),0)</f>
        <v>0</v>
      </c>
      <c r="C139" s="213">
        <f>_xlfn.IFNA(C$125*_xlfn.XLOOKUP($A139,'Properties &amp; Ind Income'!$A$18:$A$29,'Properties &amp; Ind Income'!E$18:E$29),0)</f>
        <v>0</v>
      </c>
      <c r="D139" s="213">
        <f>_xlfn.IFNA(D$125*_xlfn.XLOOKUP($A139,'Properties &amp; Ind Income'!$A$18:$A$29,'Properties &amp; Ind Income'!F$18:F$29),0)</f>
        <v>0</v>
      </c>
      <c r="E139" s="213">
        <f>_xlfn.IFNA(E$125*_xlfn.XLOOKUP($A139,'Properties &amp; Ind Income'!$A$18:$A$29,'Properties &amp; Ind Income'!G$18:G$29),0)</f>
        <v>0</v>
      </c>
      <c r="F139" s="213">
        <f>_xlfn.IFNA(F$125*_xlfn.XLOOKUP($A139,'Properties &amp; Ind Income'!$A$18:$A$29,'Properties &amp; Ind Income'!H$18:H$29),0)</f>
        <v>0</v>
      </c>
      <c r="G139" s="213">
        <f>_xlfn.IFNA(G$125*_xlfn.XLOOKUP($A139,'Properties &amp; Ind Income'!$A$18:$A$29,'Properties &amp; Ind Income'!I$18:I$29),0)</f>
        <v>0</v>
      </c>
      <c r="H139" s="213">
        <f>_xlfn.IFNA(H$125*_xlfn.XLOOKUP($A139,'Properties &amp; Ind Income'!$A$18:$A$29,'Properties &amp; Ind Income'!J$18:J$29),0)</f>
        <v>0</v>
      </c>
      <c r="I139" s="213">
        <f>_xlfn.IFNA(I$125*_xlfn.XLOOKUP($A139,'Properties &amp; Ind Income'!$A$18:$A$29,'Properties &amp; Ind Income'!K$18:K$29),0)</f>
        <v>0</v>
      </c>
      <c r="J139" s="213">
        <f>_xlfn.IFNA(J$125*_xlfn.XLOOKUP($A139,'Properties &amp; Ind Income'!$A$18:$A$29,'Properties &amp; Ind Income'!L$18:L$29),0)</f>
        <v>0</v>
      </c>
      <c r="K139" s="213">
        <f>_xlfn.IFNA(K$125*_xlfn.XLOOKUP($A139,'Properties &amp; Ind Income'!$A$18:$A$29,'Properties &amp; Ind Income'!M$18:M$29),0)</f>
        <v>0</v>
      </c>
      <c r="L139" s="213">
        <f t="shared" si="32"/>
        <v>0</v>
      </c>
      <c r="M139" s="212" cm="1">
        <f t="array" ref="M139">SUMPRODUCT(B139:K139,--(B$126:K$126="Y"))</f>
        <v>0</v>
      </c>
    </row>
    <row r="140" spans="1:26" hidden="1" x14ac:dyDescent="0.2">
      <c r="A140" s="3">
        <f t="shared" si="33"/>
        <v>11</v>
      </c>
      <c r="B140" s="213">
        <f>_xlfn.IFNA(B$125*_xlfn.XLOOKUP($A140,'Properties &amp; Ind Income'!$A$18:$A$29,'Properties &amp; Ind Income'!D$18:D$29),0)</f>
        <v>0</v>
      </c>
      <c r="C140" s="213">
        <f>_xlfn.IFNA(C$125*_xlfn.XLOOKUP($A140,'Properties &amp; Ind Income'!$A$18:$A$29,'Properties &amp; Ind Income'!E$18:E$29),0)</f>
        <v>0</v>
      </c>
      <c r="D140" s="213">
        <f>_xlfn.IFNA(D$125*_xlfn.XLOOKUP($A140,'Properties &amp; Ind Income'!$A$18:$A$29,'Properties &amp; Ind Income'!F$18:F$29),0)</f>
        <v>0</v>
      </c>
      <c r="E140" s="213">
        <f>_xlfn.IFNA(E$125*_xlfn.XLOOKUP($A140,'Properties &amp; Ind Income'!$A$18:$A$29,'Properties &amp; Ind Income'!G$18:G$29),0)</f>
        <v>0</v>
      </c>
      <c r="F140" s="213">
        <f>_xlfn.IFNA(F$125*_xlfn.XLOOKUP($A140,'Properties &amp; Ind Income'!$A$18:$A$29,'Properties &amp; Ind Income'!H$18:H$29),0)</f>
        <v>0</v>
      </c>
      <c r="G140" s="213">
        <f>_xlfn.IFNA(G$125*_xlfn.XLOOKUP($A140,'Properties &amp; Ind Income'!$A$18:$A$29,'Properties &amp; Ind Income'!I$18:I$29),0)</f>
        <v>0</v>
      </c>
      <c r="H140" s="213">
        <f>_xlfn.IFNA(H$125*_xlfn.XLOOKUP($A140,'Properties &amp; Ind Income'!$A$18:$A$29,'Properties &amp; Ind Income'!J$18:J$29),0)</f>
        <v>0</v>
      </c>
      <c r="I140" s="213">
        <f>_xlfn.IFNA(I$125*_xlfn.XLOOKUP($A140,'Properties &amp; Ind Income'!$A$18:$A$29,'Properties &amp; Ind Income'!K$18:K$29),0)</f>
        <v>0</v>
      </c>
      <c r="J140" s="213">
        <f>_xlfn.IFNA(J$125*_xlfn.XLOOKUP($A140,'Properties &amp; Ind Income'!$A$18:$A$29,'Properties &amp; Ind Income'!L$18:L$29),0)</f>
        <v>0</v>
      </c>
      <c r="K140" s="213">
        <f>_xlfn.IFNA(K$125*_xlfn.XLOOKUP($A140,'Properties &amp; Ind Income'!$A$18:$A$29,'Properties &amp; Ind Income'!M$18:M$29),0)</f>
        <v>0</v>
      </c>
      <c r="L140" s="213">
        <f t="shared" si="32"/>
        <v>0</v>
      </c>
      <c r="M140" s="212" cm="1">
        <f t="array" ref="M140">SUMPRODUCT(B140:K140,--(B$126:K$126="Y"))</f>
        <v>0</v>
      </c>
    </row>
    <row r="141" spans="1:26" hidden="1" x14ac:dyDescent="0.2">
      <c r="A141" s="3">
        <f t="shared" si="33"/>
        <v>12</v>
      </c>
      <c r="B141" s="213">
        <f>_xlfn.IFNA(B$125*_xlfn.XLOOKUP($A141,'Properties &amp; Ind Income'!$A$18:$A$29,'Properties &amp; Ind Income'!D$18:D$29),0)</f>
        <v>0</v>
      </c>
      <c r="C141" s="213">
        <f>_xlfn.IFNA(C$125*_xlfn.XLOOKUP($A141,'Properties &amp; Ind Income'!$A$18:$A$29,'Properties &amp; Ind Income'!E$18:E$29),0)</f>
        <v>0</v>
      </c>
      <c r="D141" s="213">
        <f>_xlfn.IFNA(D$125*_xlfn.XLOOKUP($A141,'Properties &amp; Ind Income'!$A$18:$A$29,'Properties &amp; Ind Income'!F$18:F$29),0)</f>
        <v>0</v>
      </c>
      <c r="E141" s="213">
        <f>_xlfn.IFNA(E$125*_xlfn.XLOOKUP($A141,'Properties &amp; Ind Income'!$A$18:$A$29,'Properties &amp; Ind Income'!G$18:G$29),0)</f>
        <v>0</v>
      </c>
      <c r="F141" s="213">
        <f>_xlfn.IFNA(F$125*_xlfn.XLOOKUP($A141,'Properties &amp; Ind Income'!$A$18:$A$29,'Properties &amp; Ind Income'!H$18:H$29),0)</f>
        <v>0</v>
      </c>
      <c r="G141" s="213">
        <f>_xlfn.IFNA(G$125*_xlfn.XLOOKUP($A141,'Properties &amp; Ind Income'!$A$18:$A$29,'Properties &amp; Ind Income'!I$18:I$29),0)</f>
        <v>0</v>
      </c>
      <c r="H141" s="213">
        <f>_xlfn.IFNA(H$125*_xlfn.XLOOKUP($A141,'Properties &amp; Ind Income'!$A$18:$A$29,'Properties &amp; Ind Income'!J$18:J$29),0)</f>
        <v>0</v>
      </c>
      <c r="I141" s="213">
        <f>_xlfn.IFNA(I$125*_xlfn.XLOOKUP($A141,'Properties &amp; Ind Income'!$A$18:$A$29,'Properties &amp; Ind Income'!K$18:K$29),0)</f>
        <v>0</v>
      </c>
      <c r="J141" s="213">
        <f>_xlfn.IFNA(J$125*_xlfn.XLOOKUP($A141,'Properties &amp; Ind Income'!$A$18:$A$29,'Properties &amp; Ind Income'!L$18:L$29),0)</f>
        <v>0</v>
      </c>
      <c r="K141" s="213">
        <f>_xlfn.IFNA(K$125*_xlfn.XLOOKUP($A141,'Properties &amp; Ind Income'!$A$18:$A$29,'Properties &amp; Ind Income'!M$18:M$29),0)</f>
        <v>0</v>
      </c>
      <c r="L141" s="213">
        <f t="shared" si="32"/>
        <v>0</v>
      </c>
      <c r="M141" s="212" cm="1">
        <f t="array" ref="M141">SUMPRODUCT(B141:K141,--(B$126:K$126="Y"))</f>
        <v>0</v>
      </c>
    </row>
    <row r="142" spans="1:26" hidden="1" x14ac:dyDescent="0.2"/>
    <row r="143" spans="1:26" hidden="1" x14ac:dyDescent="0.2">
      <c r="A143" s="78" t="s">
        <v>192</v>
      </c>
      <c r="B143" s="78" t="s">
        <v>152</v>
      </c>
      <c r="C143" s="78" t="s">
        <v>153</v>
      </c>
      <c r="D143" s="78" t="s">
        <v>154</v>
      </c>
      <c r="E143" s="78" t="s">
        <v>155</v>
      </c>
      <c r="F143" s="78" t="s">
        <v>193</v>
      </c>
      <c r="G143" s="78" t="s">
        <v>194</v>
      </c>
      <c r="H143" s="78" t="s">
        <v>195</v>
      </c>
      <c r="I143" s="78" t="s">
        <v>196</v>
      </c>
      <c r="J143" s="78" t="s">
        <v>197</v>
      </c>
      <c r="K143" s="78" t="s">
        <v>198</v>
      </c>
      <c r="L143" s="78" t="s">
        <v>199</v>
      </c>
      <c r="M143" s="78" t="s">
        <v>200</v>
      </c>
      <c r="N143" s="78" t="s">
        <v>201</v>
      </c>
      <c r="O143" s="78" t="s">
        <v>202</v>
      </c>
      <c r="P143" s="78" t="s">
        <v>203</v>
      </c>
      <c r="Q143" s="78" t="s">
        <v>204</v>
      </c>
      <c r="R143" s="78" t="s">
        <v>205</v>
      </c>
      <c r="S143" s="78" t="s">
        <v>206</v>
      </c>
      <c r="T143" s="78" t="s">
        <v>207</v>
      </c>
      <c r="U143" s="78" t="s">
        <v>208</v>
      </c>
      <c r="V143" s="78" t="s">
        <v>209</v>
      </c>
      <c r="W143" s="78" t="s">
        <v>210</v>
      </c>
      <c r="X143" s="78" t="s">
        <v>211</v>
      </c>
      <c r="Y143" s="78" t="s">
        <v>212</v>
      </c>
      <c r="Z143" s="78" t="s">
        <v>213</v>
      </c>
    </row>
    <row r="144" spans="1:26" hidden="1" x14ac:dyDescent="0.2">
      <c r="A144" s="78"/>
      <c r="B144" s="78">
        <v>1</v>
      </c>
      <c r="C144" s="78">
        <v>2</v>
      </c>
      <c r="D144" s="78">
        <v>3</v>
      </c>
      <c r="E144" s="78">
        <v>4</v>
      </c>
      <c r="F144" s="78">
        <v>1</v>
      </c>
      <c r="G144" s="78">
        <f>F144+1</f>
        <v>2</v>
      </c>
      <c r="H144" s="78">
        <f t="shared" ref="H144:Y144" si="34">G144+1</f>
        <v>3</v>
      </c>
      <c r="I144" s="78">
        <f t="shared" si="34"/>
        <v>4</v>
      </c>
      <c r="J144" s="78">
        <f t="shared" si="34"/>
        <v>5</v>
      </c>
      <c r="K144" s="78">
        <f t="shared" si="34"/>
        <v>6</v>
      </c>
      <c r="L144" s="78">
        <f t="shared" si="34"/>
        <v>7</v>
      </c>
      <c r="M144" s="78">
        <f t="shared" si="34"/>
        <v>8</v>
      </c>
      <c r="N144" s="78">
        <f t="shared" si="34"/>
        <v>9</v>
      </c>
      <c r="O144" s="78">
        <f t="shared" si="34"/>
        <v>10</v>
      </c>
      <c r="P144" s="78">
        <f t="shared" si="34"/>
        <v>11</v>
      </c>
      <c r="Q144" s="78">
        <f t="shared" si="34"/>
        <v>12</v>
      </c>
      <c r="R144" s="78">
        <f t="shared" si="34"/>
        <v>13</v>
      </c>
      <c r="S144" s="78">
        <f t="shared" si="34"/>
        <v>14</v>
      </c>
      <c r="T144" s="78">
        <f t="shared" si="34"/>
        <v>15</v>
      </c>
      <c r="U144" s="78">
        <f t="shared" si="34"/>
        <v>16</v>
      </c>
      <c r="V144" s="78">
        <f t="shared" si="34"/>
        <v>17</v>
      </c>
      <c r="W144" s="78">
        <f t="shared" si="34"/>
        <v>18</v>
      </c>
      <c r="X144" s="78">
        <f t="shared" si="34"/>
        <v>19</v>
      </c>
      <c r="Y144" s="78">
        <f t="shared" si="34"/>
        <v>20</v>
      </c>
    </row>
    <row r="145" spans="1:26" hidden="1" x14ac:dyDescent="0.2">
      <c r="A145" s="78" t="s">
        <v>214</v>
      </c>
      <c r="B145" s="78">
        <f>_xlfn.XLOOKUP(B144,$A$4:$A$7,$J$4:$J$7)</f>
        <v>0</v>
      </c>
      <c r="C145" s="78">
        <f t="shared" ref="C145:E145" si="35">_xlfn.XLOOKUP(C144,$A$4:$A$7,$J$4:$J$7)</f>
        <v>0</v>
      </c>
      <c r="D145" s="78">
        <f t="shared" si="35"/>
        <v>0</v>
      </c>
      <c r="E145" s="78">
        <f t="shared" si="35"/>
        <v>0</v>
      </c>
      <c r="F145" s="78">
        <f>_xlfn.XLOOKUP(F144,$M$4:$M$23,$S$4:$S$23)</f>
        <v>0</v>
      </c>
      <c r="G145" s="78">
        <f t="shared" ref="G145:Y145" si="36">_xlfn.XLOOKUP(G144,$M$4:$M$23,$S$4:$S$23)</f>
        <v>0</v>
      </c>
      <c r="H145" s="78">
        <f t="shared" si="36"/>
        <v>0</v>
      </c>
      <c r="I145" s="78">
        <f t="shared" si="36"/>
        <v>0</v>
      </c>
      <c r="J145" s="78">
        <f t="shared" si="36"/>
        <v>0</v>
      </c>
      <c r="K145" s="78">
        <f t="shared" si="36"/>
        <v>0</v>
      </c>
      <c r="L145" s="78">
        <f t="shared" si="36"/>
        <v>0</v>
      </c>
      <c r="M145" s="78">
        <f t="shared" si="36"/>
        <v>0</v>
      </c>
      <c r="N145" s="78">
        <f t="shared" si="36"/>
        <v>0</v>
      </c>
      <c r="O145" s="78">
        <f t="shared" si="36"/>
        <v>0</v>
      </c>
      <c r="P145" s="78">
        <f t="shared" si="36"/>
        <v>0</v>
      </c>
      <c r="Q145" s="78">
        <f t="shared" si="36"/>
        <v>0</v>
      </c>
      <c r="R145" s="78">
        <f t="shared" si="36"/>
        <v>0</v>
      </c>
      <c r="S145" s="78">
        <f t="shared" si="36"/>
        <v>0</v>
      </c>
      <c r="T145" s="78">
        <f t="shared" si="36"/>
        <v>0</v>
      </c>
      <c r="U145" s="78">
        <f t="shared" si="36"/>
        <v>0</v>
      </c>
      <c r="V145" s="78">
        <f t="shared" si="36"/>
        <v>0</v>
      </c>
      <c r="W145" s="78">
        <f t="shared" si="36"/>
        <v>0</v>
      </c>
      <c r="X145" s="78">
        <f t="shared" si="36"/>
        <v>0</v>
      </c>
      <c r="Y145" s="78">
        <f t="shared" si="36"/>
        <v>0</v>
      </c>
    </row>
    <row r="146" spans="1:26" hidden="1" x14ac:dyDescent="0.2">
      <c r="A146" s="78" t="s">
        <v>215</v>
      </c>
    </row>
    <row r="147" spans="1:26" hidden="1" x14ac:dyDescent="0.2">
      <c r="A147" s="3">
        <v>1</v>
      </c>
      <c r="B147" s="256">
        <f>_xlfn.IFNA(IF(AND(_xlfn.XLOOKUP(B$144,$A$4:$A$7,$H$4:$H$7)="Residential",_xlfn.XLOOKUP(B$144,$A$4:$A$7,$I$4:$I$7)="Investment"),_xlfn.XLOOKUP($A147,$A$12:$A$23,D$12:D$23)*_xlfn.XLOOKUP(B$144,$A$4:$A$7,$C$4:$C$7)*_xlfn.XLOOKUP(B$144,$A$4:$A$7,$D$4:$D$7)*MIN(_xlfn.XLOOKUP(B$144,$A$4:$A$7,$G$4:$G$7),1),0),0)</f>
        <v>0</v>
      </c>
      <c r="C147" s="256">
        <f t="shared" ref="C147:E158" si="37">_xlfn.IFNA(IF(AND(_xlfn.XLOOKUP(C$144,$A$4:$A$7,$H$4:$H$7)="Residential",_xlfn.XLOOKUP(C$144,$A$4:$A$7,$I$4:$I$7)="Investment"),_xlfn.XLOOKUP($A147,$A$12:$A$23,E$12:E$23)*_xlfn.XLOOKUP(C$144,$A$4:$A$7,$C$4:$C$7)*_xlfn.XLOOKUP(C$144,$A$4:$A$7,$D$4:$D$7)*MIN(_xlfn.XLOOKUP(C$144,$A$4:$A$7,$G$4:$G$7),1),0),0)</f>
        <v>0</v>
      </c>
      <c r="D147" s="256">
        <f t="shared" si="37"/>
        <v>0</v>
      </c>
      <c r="E147" s="256">
        <f t="shared" si="37"/>
        <v>0</v>
      </c>
      <c r="F147" s="212">
        <f>_xlfn.IFNA(IF(_xlfn.XLOOKUP(F$144,$M$4:$M$23,$R$4:$R$23)="Resi Investment",_xlfn.XLOOKUP($A147,$A$29:$A$40,D$29:D$40)*_xlfn.XLOOKUP(F$144,$M$4:$M$23,$O$4:$O$23)*_xlfn.XLOOKUP(F$144,$M$4:$M$23,$P$4:$P$23),0),0)</f>
        <v>0</v>
      </c>
      <c r="G147" s="212">
        <f t="shared" ref="G147:V158" si="38">_xlfn.IFNA(IF(_xlfn.XLOOKUP(G$144,$M$4:$M$23,$R$4:$R$23)="Resi Investment",_xlfn.XLOOKUP($A147,$A$29:$A$40,E$29:E$40)*_xlfn.XLOOKUP(G$144,$M$4:$M$23,$O$4:$O$23)*_xlfn.XLOOKUP(G$144,$M$4:$M$23,$P$4:$P$23),0),0)</f>
        <v>0</v>
      </c>
      <c r="H147" s="212">
        <f t="shared" si="38"/>
        <v>0</v>
      </c>
      <c r="I147" s="212">
        <f t="shared" si="38"/>
        <v>0</v>
      </c>
      <c r="J147" s="212">
        <f t="shared" si="38"/>
        <v>0</v>
      </c>
      <c r="K147" s="212">
        <f t="shared" si="38"/>
        <v>0</v>
      </c>
      <c r="L147" s="212">
        <f t="shared" si="38"/>
        <v>0</v>
      </c>
      <c r="M147" s="212">
        <f t="shared" si="38"/>
        <v>0</v>
      </c>
      <c r="N147" s="212">
        <f t="shared" si="38"/>
        <v>0</v>
      </c>
      <c r="O147" s="212">
        <f t="shared" si="38"/>
        <v>0</v>
      </c>
      <c r="P147" s="212">
        <f t="shared" si="38"/>
        <v>0</v>
      </c>
      <c r="Q147" s="212">
        <f t="shared" si="38"/>
        <v>0</v>
      </c>
      <c r="R147" s="212">
        <f t="shared" si="38"/>
        <v>0</v>
      </c>
      <c r="S147" s="212">
        <f t="shared" si="38"/>
        <v>0</v>
      </c>
      <c r="T147" s="212">
        <f t="shared" si="38"/>
        <v>0</v>
      </c>
      <c r="U147" s="212">
        <f t="shared" si="38"/>
        <v>0</v>
      </c>
      <c r="V147" s="212">
        <f t="shared" si="38"/>
        <v>0</v>
      </c>
      <c r="W147" s="212">
        <f t="shared" ref="W147:Y158" si="39">_xlfn.IFNA(IF(_xlfn.XLOOKUP(W$144,$M$4:$M$23,$R$4:$R$23)="Resi Investment",_xlfn.XLOOKUP($A147,$A$29:$A$40,U$29:U$40)*_xlfn.XLOOKUP(W$144,$M$4:$M$23,$O$4:$O$23)*_xlfn.XLOOKUP(W$144,$M$4:$M$23,$P$4:$P$23),0),0)</f>
        <v>0</v>
      </c>
      <c r="X147" s="212">
        <f t="shared" si="39"/>
        <v>0</v>
      </c>
      <c r="Y147" s="212">
        <f t="shared" si="39"/>
        <v>0</v>
      </c>
      <c r="Z147" s="213">
        <f>SUM(B147:Y147)</f>
        <v>0</v>
      </c>
    </row>
    <row r="148" spans="1:26" hidden="1" x14ac:dyDescent="0.2">
      <c r="A148" s="3">
        <f>A147+1</f>
        <v>2</v>
      </c>
      <c r="B148" s="256">
        <f t="shared" ref="B148:B158" si="40">_xlfn.IFNA(IF(AND(_xlfn.XLOOKUP(B$144,$A$4:$A$7,$H$4:$H$7)="Residential",_xlfn.XLOOKUP(B$144,$A$4:$A$7,$I$4:$I$7)="Investment"),_xlfn.XLOOKUP($A148,$A$12:$A$23,D$12:D$23)*_xlfn.XLOOKUP(B$144,$A$4:$A$7,$C$4:$C$7)*_xlfn.XLOOKUP(B$144,$A$4:$A$7,$D$4:$D$7)*MIN(_xlfn.XLOOKUP(B$144,$A$4:$A$7,$G$4:$G$7),1),0),0)</f>
        <v>0</v>
      </c>
      <c r="C148" s="256">
        <f t="shared" si="37"/>
        <v>0</v>
      </c>
      <c r="D148" s="256">
        <f t="shared" si="37"/>
        <v>0</v>
      </c>
      <c r="E148" s="256">
        <f t="shared" si="37"/>
        <v>0</v>
      </c>
      <c r="F148" s="212">
        <f t="shared" ref="F148:F158" si="41">_xlfn.IFNA(IF(_xlfn.XLOOKUP(F$144,$M$4:$M$23,$R$4:$R$23)="Resi Investment",_xlfn.XLOOKUP($A148,$A$29:$A$40,D$29:D$40)*_xlfn.XLOOKUP(F$144,$M$4:$M$23,$O$4:$O$23)*_xlfn.XLOOKUP(F$144,$M$4:$M$23,$P$4:$P$23),0),0)</f>
        <v>0</v>
      </c>
      <c r="G148" s="212">
        <f t="shared" si="38"/>
        <v>0</v>
      </c>
      <c r="H148" s="212">
        <f t="shared" si="38"/>
        <v>0</v>
      </c>
      <c r="I148" s="212">
        <f t="shared" si="38"/>
        <v>0</v>
      </c>
      <c r="J148" s="212">
        <f t="shared" si="38"/>
        <v>0</v>
      </c>
      <c r="K148" s="212">
        <f t="shared" si="38"/>
        <v>0</v>
      </c>
      <c r="L148" s="212">
        <f t="shared" si="38"/>
        <v>0</v>
      </c>
      <c r="M148" s="212">
        <f t="shared" si="38"/>
        <v>0</v>
      </c>
      <c r="N148" s="212">
        <f t="shared" si="38"/>
        <v>0</v>
      </c>
      <c r="O148" s="212">
        <f t="shared" si="38"/>
        <v>0</v>
      </c>
      <c r="P148" s="212">
        <f t="shared" si="38"/>
        <v>0</v>
      </c>
      <c r="Q148" s="212">
        <f t="shared" si="38"/>
        <v>0</v>
      </c>
      <c r="R148" s="212">
        <f t="shared" si="38"/>
        <v>0</v>
      </c>
      <c r="S148" s="212">
        <f t="shared" si="38"/>
        <v>0</v>
      </c>
      <c r="T148" s="212">
        <f t="shared" si="38"/>
        <v>0</v>
      </c>
      <c r="U148" s="212">
        <f t="shared" si="38"/>
        <v>0</v>
      </c>
      <c r="V148" s="212">
        <f t="shared" si="38"/>
        <v>0</v>
      </c>
      <c r="W148" s="212">
        <f t="shared" si="39"/>
        <v>0</v>
      </c>
      <c r="X148" s="212">
        <f t="shared" si="39"/>
        <v>0</v>
      </c>
      <c r="Y148" s="212">
        <f t="shared" si="39"/>
        <v>0</v>
      </c>
      <c r="Z148" s="213">
        <f t="shared" ref="Z148:Z172" si="42">SUM(B148:Y148)</f>
        <v>0</v>
      </c>
    </row>
    <row r="149" spans="1:26" hidden="1" x14ac:dyDescent="0.2">
      <c r="A149" s="3">
        <f t="shared" ref="A149:A158" si="43">A148+1</f>
        <v>3</v>
      </c>
      <c r="B149" s="256">
        <f t="shared" si="40"/>
        <v>0</v>
      </c>
      <c r="C149" s="256">
        <f t="shared" si="37"/>
        <v>0</v>
      </c>
      <c r="D149" s="256">
        <f t="shared" si="37"/>
        <v>0</v>
      </c>
      <c r="E149" s="256">
        <f t="shared" si="37"/>
        <v>0</v>
      </c>
      <c r="F149" s="212">
        <f t="shared" si="41"/>
        <v>0</v>
      </c>
      <c r="G149" s="212">
        <f t="shared" si="38"/>
        <v>0</v>
      </c>
      <c r="H149" s="212">
        <f t="shared" si="38"/>
        <v>0</v>
      </c>
      <c r="I149" s="212">
        <f t="shared" si="38"/>
        <v>0</v>
      </c>
      <c r="J149" s="212">
        <f t="shared" si="38"/>
        <v>0</v>
      </c>
      <c r="K149" s="212">
        <f t="shared" si="38"/>
        <v>0</v>
      </c>
      <c r="L149" s="212">
        <f t="shared" si="38"/>
        <v>0</v>
      </c>
      <c r="M149" s="212">
        <f t="shared" si="38"/>
        <v>0</v>
      </c>
      <c r="N149" s="212">
        <f t="shared" si="38"/>
        <v>0</v>
      </c>
      <c r="O149" s="212">
        <f t="shared" si="38"/>
        <v>0</v>
      </c>
      <c r="P149" s="212">
        <f t="shared" si="38"/>
        <v>0</v>
      </c>
      <c r="Q149" s="212">
        <f t="shared" si="38"/>
        <v>0</v>
      </c>
      <c r="R149" s="212">
        <f t="shared" si="38"/>
        <v>0</v>
      </c>
      <c r="S149" s="212">
        <f t="shared" si="38"/>
        <v>0</v>
      </c>
      <c r="T149" s="212">
        <f t="shared" si="38"/>
        <v>0</v>
      </c>
      <c r="U149" s="212">
        <f t="shared" si="38"/>
        <v>0</v>
      </c>
      <c r="V149" s="212">
        <f t="shared" si="38"/>
        <v>0</v>
      </c>
      <c r="W149" s="212">
        <f t="shared" si="39"/>
        <v>0</v>
      </c>
      <c r="X149" s="212">
        <f t="shared" si="39"/>
        <v>0</v>
      </c>
      <c r="Y149" s="212">
        <f t="shared" si="39"/>
        <v>0</v>
      </c>
      <c r="Z149" s="213">
        <f t="shared" si="42"/>
        <v>0</v>
      </c>
    </row>
    <row r="150" spans="1:26" hidden="1" x14ac:dyDescent="0.2">
      <c r="A150" s="3">
        <f t="shared" si="43"/>
        <v>4</v>
      </c>
      <c r="B150" s="256">
        <f t="shared" si="40"/>
        <v>0</v>
      </c>
      <c r="C150" s="256">
        <f t="shared" si="37"/>
        <v>0</v>
      </c>
      <c r="D150" s="256">
        <f t="shared" si="37"/>
        <v>0</v>
      </c>
      <c r="E150" s="256">
        <f t="shared" si="37"/>
        <v>0</v>
      </c>
      <c r="F150" s="212">
        <f t="shared" si="41"/>
        <v>0</v>
      </c>
      <c r="G150" s="212">
        <f t="shared" si="38"/>
        <v>0</v>
      </c>
      <c r="H150" s="212">
        <f t="shared" si="38"/>
        <v>0</v>
      </c>
      <c r="I150" s="212">
        <f t="shared" si="38"/>
        <v>0</v>
      </c>
      <c r="J150" s="212">
        <f t="shared" si="38"/>
        <v>0</v>
      </c>
      <c r="K150" s="212">
        <f t="shared" si="38"/>
        <v>0</v>
      </c>
      <c r="L150" s="212">
        <f t="shared" si="38"/>
        <v>0</v>
      </c>
      <c r="M150" s="212">
        <f t="shared" si="38"/>
        <v>0</v>
      </c>
      <c r="N150" s="212">
        <f t="shared" si="38"/>
        <v>0</v>
      </c>
      <c r="O150" s="212">
        <f t="shared" si="38"/>
        <v>0</v>
      </c>
      <c r="P150" s="212">
        <f t="shared" si="38"/>
        <v>0</v>
      </c>
      <c r="Q150" s="212">
        <f t="shared" si="38"/>
        <v>0</v>
      </c>
      <c r="R150" s="212">
        <f t="shared" si="38"/>
        <v>0</v>
      </c>
      <c r="S150" s="212">
        <f t="shared" si="38"/>
        <v>0</v>
      </c>
      <c r="T150" s="212">
        <f t="shared" si="38"/>
        <v>0</v>
      </c>
      <c r="U150" s="212">
        <f t="shared" si="38"/>
        <v>0</v>
      </c>
      <c r="V150" s="212">
        <f t="shared" si="38"/>
        <v>0</v>
      </c>
      <c r="W150" s="212">
        <f t="shared" si="39"/>
        <v>0</v>
      </c>
      <c r="X150" s="212">
        <f t="shared" si="39"/>
        <v>0</v>
      </c>
      <c r="Y150" s="212">
        <f t="shared" si="39"/>
        <v>0</v>
      </c>
      <c r="Z150" s="213">
        <f t="shared" si="42"/>
        <v>0</v>
      </c>
    </row>
    <row r="151" spans="1:26" hidden="1" x14ac:dyDescent="0.2">
      <c r="A151" s="3">
        <f t="shared" si="43"/>
        <v>5</v>
      </c>
      <c r="B151" s="256">
        <f t="shared" si="40"/>
        <v>0</v>
      </c>
      <c r="C151" s="256">
        <f t="shared" si="37"/>
        <v>0</v>
      </c>
      <c r="D151" s="256">
        <f t="shared" si="37"/>
        <v>0</v>
      </c>
      <c r="E151" s="256">
        <f t="shared" si="37"/>
        <v>0</v>
      </c>
      <c r="F151" s="212">
        <f t="shared" si="41"/>
        <v>0</v>
      </c>
      <c r="G151" s="212">
        <f t="shared" si="38"/>
        <v>0</v>
      </c>
      <c r="H151" s="212">
        <f t="shared" si="38"/>
        <v>0</v>
      </c>
      <c r="I151" s="212">
        <f t="shared" si="38"/>
        <v>0</v>
      </c>
      <c r="J151" s="212">
        <f t="shared" si="38"/>
        <v>0</v>
      </c>
      <c r="K151" s="212">
        <f t="shared" si="38"/>
        <v>0</v>
      </c>
      <c r="L151" s="212">
        <f t="shared" si="38"/>
        <v>0</v>
      </c>
      <c r="M151" s="212">
        <f t="shared" si="38"/>
        <v>0</v>
      </c>
      <c r="N151" s="212">
        <f t="shared" si="38"/>
        <v>0</v>
      </c>
      <c r="O151" s="212">
        <f t="shared" si="38"/>
        <v>0</v>
      </c>
      <c r="P151" s="212">
        <f t="shared" si="38"/>
        <v>0</v>
      </c>
      <c r="Q151" s="212">
        <f t="shared" si="38"/>
        <v>0</v>
      </c>
      <c r="R151" s="212">
        <f t="shared" si="38"/>
        <v>0</v>
      </c>
      <c r="S151" s="212">
        <f t="shared" si="38"/>
        <v>0</v>
      </c>
      <c r="T151" s="212">
        <f t="shared" si="38"/>
        <v>0</v>
      </c>
      <c r="U151" s="212">
        <f t="shared" si="38"/>
        <v>0</v>
      </c>
      <c r="V151" s="212">
        <f t="shared" si="38"/>
        <v>0</v>
      </c>
      <c r="W151" s="212">
        <f t="shared" si="39"/>
        <v>0</v>
      </c>
      <c r="X151" s="212">
        <f t="shared" si="39"/>
        <v>0</v>
      </c>
      <c r="Y151" s="212">
        <f t="shared" si="39"/>
        <v>0</v>
      </c>
      <c r="Z151" s="213">
        <f t="shared" si="42"/>
        <v>0</v>
      </c>
    </row>
    <row r="152" spans="1:26" hidden="1" x14ac:dyDescent="0.2">
      <c r="A152" s="3">
        <f t="shared" si="43"/>
        <v>6</v>
      </c>
      <c r="B152" s="256">
        <f t="shared" si="40"/>
        <v>0</v>
      </c>
      <c r="C152" s="256">
        <f t="shared" si="37"/>
        <v>0</v>
      </c>
      <c r="D152" s="256">
        <f t="shared" si="37"/>
        <v>0</v>
      </c>
      <c r="E152" s="256">
        <f t="shared" si="37"/>
        <v>0</v>
      </c>
      <c r="F152" s="212">
        <f t="shared" si="41"/>
        <v>0</v>
      </c>
      <c r="G152" s="212">
        <f t="shared" si="38"/>
        <v>0</v>
      </c>
      <c r="H152" s="212">
        <f t="shared" si="38"/>
        <v>0</v>
      </c>
      <c r="I152" s="212">
        <f t="shared" si="38"/>
        <v>0</v>
      </c>
      <c r="J152" s="212">
        <f t="shared" si="38"/>
        <v>0</v>
      </c>
      <c r="K152" s="212">
        <f t="shared" si="38"/>
        <v>0</v>
      </c>
      <c r="L152" s="212">
        <f t="shared" si="38"/>
        <v>0</v>
      </c>
      <c r="M152" s="212">
        <f t="shared" si="38"/>
        <v>0</v>
      </c>
      <c r="N152" s="212">
        <f t="shared" si="38"/>
        <v>0</v>
      </c>
      <c r="O152" s="212">
        <f t="shared" si="38"/>
        <v>0</v>
      </c>
      <c r="P152" s="212">
        <f t="shared" si="38"/>
        <v>0</v>
      </c>
      <c r="Q152" s="212">
        <f t="shared" si="38"/>
        <v>0</v>
      </c>
      <c r="R152" s="212">
        <f t="shared" si="38"/>
        <v>0</v>
      </c>
      <c r="S152" s="212">
        <f t="shared" si="38"/>
        <v>0</v>
      </c>
      <c r="T152" s="212">
        <f t="shared" si="38"/>
        <v>0</v>
      </c>
      <c r="U152" s="212">
        <f t="shared" si="38"/>
        <v>0</v>
      </c>
      <c r="V152" s="212">
        <f t="shared" si="38"/>
        <v>0</v>
      </c>
      <c r="W152" s="212">
        <f t="shared" si="39"/>
        <v>0</v>
      </c>
      <c r="X152" s="212">
        <f t="shared" si="39"/>
        <v>0</v>
      </c>
      <c r="Y152" s="212">
        <f t="shared" si="39"/>
        <v>0</v>
      </c>
      <c r="Z152" s="213">
        <f t="shared" si="42"/>
        <v>0</v>
      </c>
    </row>
    <row r="153" spans="1:26" hidden="1" x14ac:dyDescent="0.2">
      <c r="A153" s="3">
        <f t="shared" si="43"/>
        <v>7</v>
      </c>
      <c r="B153" s="256">
        <f t="shared" si="40"/>
        <v>0</v>
      </c>
      <c r="C153" s="256">
        <f t="shared" si="37"/>
        <v>0</v>
      </c>
      <c r="D153" s="256">
        <f t="shared" si="37"/>
        <v>0</v>
      </c>
      <c r="E153" s="256">
        <f t="shared" si="37"/>
        <v>0</v>
      </c>
      <c r="F153" s="212">
        <f t="shared" si="41"/>
        <v>0</v>
      </c>
      <c r="G153" s="212">
        <f t="shared" si="38"/>
        <v>0</v>
      </c>
      <c r="H153" s="212">
        <f t="shared" si="38"/>
        <v>0</v>
      </c>
      <c r="I153" s="212">
        <f t="shared" si="38"/>
        <v>0</v>
      </c>
      <c r="J153" s="212">
        <f t="shared" si="38"/>
        <v>0</v>
      </c>
      <c r="K153" s="212">
        <f t="shared" si="38"/>
        <v>0</v>
      </c>
      <c r="L153" s="212">
        <f t="shared" si="38"/>
        <v>0</v>
      </c>
      <c r="M153" s="212">
        <f t="shared" si="38"/>
        <v>0</v>
      </c>
      <c r="N153" s="212">
        <f t="shared" si="38"/>
        <v>0</v>
      </c>
      <c r="O153" s="212">
        <f t="shared" si="38"/>
        <v>0</v>
      </c>
      <c r="P153" s="212">
        <f t="shared" si="38"/>
        <v>0</v>
      </c>
      <c r="Q153" s="212">
        <f t="shared" si="38"/>
        <v>0</v>
      </c>
      <c r="R153" s="212">
        <f t="shared" si="38"/>
        <v>0</v>
      </c>
      <c r="S153" s="212">
        <f t="shared" si="38"/>
        <v>0</v>
      </c>
      <c r="T153" s="212">
        <f t="shared" si="38"/>
        <v>0</v>
      </c>
      <c r="U153" s="212">
        <f t="shared" si="38"/>
        <v>0</v>
      </c>
      <c r="V153" s="212">
        <f t="shared" si="38"/>
        <v>0</v>
      </c>
      <c r="W153" s="212">
        <f t="shared" si="39"/>
        <v>0</v>
      </c>
      <c r="X153" s="212">
        <f t="shared" si="39"/>
        <v>0</v>
      </c>
      <c r="Y153" s="212">
        <f t="shared" si="39"/>
        <v>0</v>
      </c>
      <c r="Z153" s="213">
        <f t="shared" si="42"/>
        <v>0</v>
      </c>
    </row>
    <row r="154" spans="1:26" hidden="1" x14ac:dyDescent="0.2">
      <c r="A154" s="3">
        <f t="shared" si="43"/>
        <v>8</v>
      </c>
      <c r="B154" s="256">
        <f t="shared" si="40"/>
        <v>0</v>
      </c>
      <c r="C154" s="256">
        <f t="shared" si="37"/>
        <v>0</v>
      </c>
      <c r="D154" s="256">
        <f t="shared" si="37"/>
        <v>0</v>
      </c>
      <c r="E154" s="256">
        <f t="shared" si="37"/>
        <v>0</v>
      </c>
      <c r="F154" s="212">
        <f t="shared" si="41"/>
        <v>0</v>
      </c>
      <c r="G154" s="212">
        <f t="shared" si="38"/>
        <v>0</v>
      </c>
      <c r="H154" s="212">
        <f t="shared" si="38"/>
        <v>0</v>
      </c>
      <c r="I154" s="212">
        <f t="shared" si="38"/>
        <v>0</v>
      </c>
      <c r="J154" s="212">
        <f t="shared" si="38"/>
        <v>0</v>
      </c>
      <c r="K154" s="212">
        <f t="shared" si="38"/>
        <v>0</v>
      </c>
      <c r="L154" s="212">
        <f t="shared" si="38"/>
        <v>0</v>
      </c>
      <c r="M154" s="212">
        <f t="shared" si="38"/>
        <v>0</v>
      </c>
      <c r="N154" s="212">
        <f t="shared" si="38"/>
        <v>0</v>
      </c>
      <c r="O154" s="212">
        <f t="shared" si="38"/>
        <v>0</v>
      </c>
      <c r="P154" s="212">
        <f t="shared" si="38"/>
        <v>0</v>
      </c>
      <c r="Q154" s="212">
        <f t="shared" si="38"/>
        <v>0</v>
      </c>
      <c r="R154" s="212">
        <f t="shared" si="38"/>
        <v>0</v>
      </c>
      <c r="S154" s="212">
        <f t="shared" si="38"/>
        <v>0</v>
      </c>
      <c r="T154" s="212">
        <f t="shared" si="38"/>
        <v>0</v>
      </c>
      <c r="U154" s="212">
        <f t="shared" si="38"/>
        <v>0</v>
      </c>
      <c r="V154" s="212">
        <f t="shared" si="38"/>
        <v>0</v>
      </c>
      <c r="W154" s="212">
        <f t="shared" si="39"/>
        <v>0</v>
      </c>
      <c r="X154" s="212">
        <f t="shared" si="39"/>
        <v>0</v>
      </c>
      <c r="Y154" s="212">
        <f t="shared" si="39"/>
        <v>0</v>
      </c>
      <c r="Z154" s="213">
        <f t="shared" si="42"/>
        <v>0</v>
      </c>
    </row>
    <row r="155" spans="1:26" hidden="1" x14ac:dyDescent="0.2">
      <c r="A155" s="3">
        <f t="shared" si="43"/>
        <v>9</v>
      </c>
      <c r="B155" s="256">
        <f t="shared" si="40"/>
        <v>0</v>
      </c>
      <c r="C155" s="256">
        <f t="shared" si="37"/>
        <v>0</v>
      </c>
      <c r="D155" s="256">
        <f t="shared" si="37"/>
        <v>0</v>
      </c>
      <c r="E155" s="256">
        <f t="shared" si="37"/>
        <v>0</v>
      </c>
      <c r="F155" s="212">
        <f t="shared" si="41"/>
        <v>0</v>
      </c>
      <c r="G155" s="212">
        <f t="shared" si="38"/>
        <v>0</v>
      </c>
      <c r="H155" s="212">
        <f t="shared" si="38"/>
        <v>0</v>
      </c>
      <c r="I155" s="212">
        <f t="shared" si="38"/>
        <v>0</v>
      </c>
      <c r="J155" s="212">
        <f t="shared" si="38"/>
        <v>0</v>
      </c>
      <c r="K155" s="212">
        <f t="shared" si="38"/>
        <v>0</v>
      </c>
      <c r="L155" s="212">
        <f t="shared" si="38"/>
        <v>0</v>
      </c>
      <c r="M155" s="212">
        <f t="shared" si="38"/>
        <v>0</v>
      </c>
      <c r="N155" s="212">
        <f t="shared" si="38"/>
        <v>0</v>
      </c>
      <c r="O155" s="212">
        <f t="shared" si="38"/>
        <v>0</v>
      </c>
      <c r="P155" s="212">
        <f t="shared" si="38"/>
        <v>0</v>
      </c>
      <c r="Q155" s="212">
        <f t="shared" si="38"/>
        <v>0</v>
      </c>
      <c r="R155" s="212">
        <f t="shared" si="38"/>
        <v>0</v>
      </c>
      <c r="S155" s="212">
        <f t="shared" si="38"/>
        <v>0</v>
      </c>
      <c r="T155" s="212">
        <f t="shared" si="38"/>
        <v>0</v>
      </c>
      <c r="U155" s="212">
        <f t="shared" si="38"/>
        <v>0</v>
      </c>
      <c r="V155" s="212">
        <f t="shared" si="38"/>
        <v>0</v>
      </c>
      <c r="W155" s="212">
        <f t="shared" si="39"/>
        <v>0</v>
      </c>
      <c r="X155" s="212">
        <f t="shared" si="39"/>
        <v>0</v>
      </c>
      <c r="Y155" s="212">
        <f t="shared" si="39"/>
        <v>0</v>
      </c>
      <c r="Z155" s="213">
        <f t="shared" si="42"/>
        <v>0</v>
      </c>
    </row>
    <row r="156" spans="1:26" hidden="1" x14ac:dyDescent="0.2">
      <c r="A156" s="3">
        <f t="shared" si="43"/>
        <v>10</v>
      </c>
      <c r="B156" s="256">
        <f t="shared" si="40"/>
        <v>0</v>
      </c>
      <c r="C156" s="256">
        <f t="shared" si="37"/>
        <v>0</v>
      </c>
      <c r="D156" s="256">
        <f t="shared" si="37"/>
        <v>0</v>
      </c>
      <c r="E156" s="256">
        <f t="shared" si="37"/>
        <v>0</v>
      </c>
      <c r="F156" s="212">
        <f t="shared" si="41"/>
        <v>0</v>
      </c>
      <c r="G156" s="212">
        <f t="shared" si="38"/>
        <v>0</v>
      </c>
      <c r="H156" s="212">
        <f t="shared" si="38"/>
        <v>0</v>
      </c>
      <c r="I156" s="212">
        <f t="shared" si="38"/>
        <v>0</v>
      </c>
      <c r="J156" s="212">
        <f t="shared" si="38"/>
        <v>0</v>
      </c>
      <c r="K156" s="212">
        <f t="shared" si="38"/>
        <v>0</v>
      </c>
      <c r="L156" s="212">
        <f t="shared" si="38"/>
        <v>0</v>
      </c>
      <c r="M156" s="212">
        <f t="shared" si="38"/>
        <v>0</v>
      </c>
      <c r="N156" s="212">
        <f t="shared" si="38"/>
        <v>0</v>
      </c>
      <c r="O156" s="212">
        <f t="shared" si="38"/>
        <v>0</v>
      </c>
      <c r="P156" s="212">
        <f t="shared" si="38"/>
        <v>0</v>
      </c>
      <c r="Q156" s="212">
        <f t="shared" si="38"/>
        <v>0</v>
      </c>
      <c r="R156" s="212">
        <f t="shared" si="38"/>
        <v>0</v>
      </c>
      <c r="S156" s="212">
        <f t="shared" si="38"/>
        <v>0</v>
      </c>
      <c r="T156" s="212">
        <f t="shared" si="38"/>
        <v>0</v>
      </c>
      <c r="U156" s="212">
        <f t="shared" si="38"/>
        <v>0</v>
      </c>
      <c r="V156" s="212">
        <f t="shared" si="38"/>
        <v>0</v>
      </c>
      <c r="W156" s="212">
        <f t="shared" si="39"/>
        <v>0</v>
      </c>
      <c r="X156" s="212">
        <f t="shared" si="39"/>
        <v>0</v>
      </c>
      <c r="Y156" s="212">
        <f t="shared" si="39"/>
        <v>0</v>
      </c>
      <c r="Z156" s="213">
        <f t="shared" si="42"/>
        <v>0</v>
      </c>
    </row>
    <row r="157" spans="1:26" hidden="1" x14ac:dyDescent="0.2">
      <c r="A157" s="3">
        <f t="shared" si="43"/>
        <v>11</v>
      </c>
      <c r="B157" s="256">
        <f t="shared" si="40"/>
        <v>0</v>
      </c>
      <c r="C157" s="256">
        <f t="shared" si="37"/>
        <v>0</v>
      </c>
      <c r="D157" s="256">
        <f t="shared" si="37"/>
        <v>0</v>
      </c>
      <c r="E157" s="256">
        <f t="shared" si="37"/>
        <v>0</v>
      </c>
      <c r="F157" s="212">
        <f t="shared" si="41"/>
        <v>0</v>
      </c>
      <c r="G157" s="212">
        <f t="shared" si="38"/>
        <v>0</v>
      </c>
      <c r="H157" s="212">
        <f t="shared" si="38"/>
        <v>0</v>
      </c>
      <c r="I157" s="212">
        <f t="shared" si="38"/>
        <v>0</v>
      </c>
      <c r="J157" s="212">
        <f t="shared" si="38"/>
        <v>0</v>
      </c>
      <c r="K157" s="212">
        <f t="shared" si="38"/>
        <v>0</v>
      </c>
      <c r="L157" s="212">
        <f t="shared" si="38"/>
        <v>0</v>
      </c>
      <c r="M157" s="212">
        <f t="shared" si="38"/>
        <v>0</v>
      </c>
      <c r="N157" s="212">
        <f t="shared" si="38"/>
        <v>0</v>
      </c>
      <c r="O157" s="212">
        <f t="shared" si="38"/>
        <v>0</v>
      </c>
      <c r="P157" s="212">
        <f t="shared" si="38"/>
        <v>0</v>
      </c>
      <c r="Q157" s="212">
        <f t="shared" si="38"/>
        <v>0</v>
      </c>
      <c r="R157" s="212">
        <f t="shared" si="38"/>
        <v>0</v>
      </c>
      <c r="S157" s="212">
        <f t="shared" si="38"/>
        <v>0</v>
      </c>
      <c r="T157" s="212">
        <f t="shared" si="38"/>
        <v>0</v>
      </c>
      <c r="U157" s="212">
        <f t="shared" si="38"/>
        <v>0</v>
      </c>
      <c r="V157" s="212">
        <f t="shared" si="38"/>
        <v>0</v>
      </c>
      <c r="W157" s="212">
        <f t="shared" si="39"/>
        <v>0</v>
      </c>
      <c r="X157" s="212">
        <f t="shared" si="39"/>
        <v>0</v>
      </c>
      <c r="Y157" s="212">
        <f t="shared" si="39"/>
        <v>0</v>
      </c>
      <c r="Z157" s="213">
        <f t="shared" si="42"/>
        <v>0</v>
      </c>
    </row>
    <row r="158" spans="1:26" hidden="1" x14ac:dyDescent="0.2">
      <c r="A158" s="3">
        <f t="shared" si="43"/>
        <v>12</v>
      </c>
      <c r="B158" s="256">
        <f t="shared" si="40"/>
        <v>0</v>
      </c>
      <c r="C158" s="256">
        <f t="shared" si="37"/>
        <v>0</v>
      </c>
      <c r="D158" s="256">
        <f t="shared" si="37"/>
        <v>0</v>
      </c>
      <c r="E158" s="256">
        <f t="shared" si="37"/>
        <v>0</v>
      </c>
      <c r="F158" s="212">
        <f t="shared" si="41"/>
        <v>0</v>
      </c>
      <c r="G158" s="212">
        <f t="shared" si="38"/>
        <v>0</v>
      </c>
      <c r="H158" s="212">
        <f t="shared" si="38"/>
        <v>0</v>
      </c>
      <c r="I158" s="212">
        <f t="shared" si="38"/>
        <v>0</v>
      </c>
      <c r="J158" s="212">
        <f t="shared" si="38"/>
        <v>0</v>
      </c>
      <c r="K158" s="212">
        <f t="shared" si="38"/>
        <v>0</v>
      </c>
      <c r="L158" s="212">
        <f t="shared" si="38"/>
        <v>0</v>
      </c>
      <c r="M158" s="212">
        <f t="shared" si="38"/>
        <v>0</v>
      </c>
      <c r="N158" s="212">
        <f t="shared" si="38"/>
        <v>0</v>
      </c>
      <c r="O158" s="212">
        <f t="shared" si="38"/>
        <v>0</v>
      </c>
      <c r="P158" s="212">
        <f t="shared" si="38"/>
        <v>0</v>
      </c>
      <c r="Q158" s="212">
        <f t="shared" si="38"/>
        <v>0</v>
      </c>
      <c r="R158" s="212">
        <f t="shared" si="38"/>
        <v>0</v>
      </c>
      <c r="S158" s="212">
        <f t="shared" si="38"/>
        <v>0</v>
      </c>
      <c r="T158" s="212">
        <f t="shared" si="38"/>
        <v>0</v>
      </c>
      <c r="U158" s="212">
        <f t="shared" si="38"/>
        <v>0</v>
      </c>
      <c r="V158" s="212">
        <f t="shared" si="38"/>
        <v>0</v>
      </c>
      <c r="W158" s="212">
        <f t="shared" si="39"/>
        <v>0</v>
      </c>
      <c r="X158" s="212">
        <f t="shared" si="39"/>
        <v>0</v>
      </c>
      <c r="Y158" s="212">
        <f t="shared" si="39"/>
        <v>0</v>
      </c>
      <c r="Z158" s="213">
        <f t="shared" si="42"/>
        <v>0</v>
      </c>
    </row>
    <row r="159" spans="1:26" hidden="1" x14ac:dyDescent="0.2">
      <c r="Z159" s="213"/>
    </row>
    <row r="160" spans="1:26" hidden="1" x14ac:dyDescent="0.2">
      <c r="A160" s="78" t="s">
        <v>216</v>
      </c>
      <c r="B160" s="78" t="s">
        <v>217</v>
      </c>
      <c r="Z160" s="213"/>
    </row>
    <row r="161" spans="1:26" hidden="1" x14ac:dyDescent="0.2">
      <c r="A161" s="3">
        <v>1</v>
      </c>
      <c r="B161" s="256">
        <f t="shared" ref="B161:E172" si="44">IF($M130&gt;=$Z147,B147,IF(B$145="Yes",B147,MIN(B147,IF(SUM(B$147:B$158)=0,0,_xlfn.XLOOKUP(B$144,$A$222:$A$225,$L$222:$L$225)*B147/SUM(B$147:B$158)))))</f>
        <v>0</v>
      </c>
      <c r="C161" s="256">
        <f t="shared" si="44"/>
        <v>0</v>
      </c>
      <c r="D161" s="256">
        <f t="shared" si="44"/>
        <v>0</v>
      </c>
      <c r="E161" s="256">
        <f t="shared" si="44"/>
        <v>0</v>
      </c>
      <c r="F161" s="245">
        <f t="shared" ref="F161:Y172" si="45">IF($M130&gt;=$Z147,F147,IF(F$145="Yes",F147,MIN(F147,IF(SUM(F$147:F$158)=0,0,_xlfn.XLOOKUP(F$144,$A$228:$A$247,$L$228:$L$247)*F147/SUM(F$147:F$158)))))</f>
        <v>0</v>
      </c>
      <c r="G161" s="245">
        <f t="shared" si="45"/>
        <v>0</v>
      </c>
      <c r="H161" s="245">
        <f t="shared" si="45"/>
        <v>0</v>
      </c>
      <c r="I161" s="245">
        <f t="shared" si="45"/>
        <v>0</v>
      </c>
      <c r="J161" s="245">
        <f t="shared" si="45"/>
        <v>0</v>
      </c>
      <c r="K161" s="245">
        <f t="shared" si="45"/>
        <v>0</v>
      </c>
      <c r="L161" s="245">
        <f t="shared" si="45"/>
        <v>0</v>
      </c>
      <c r="M161" s="245">
        <f t="shared" si="45"/>
        <v>0</v>
      </c>
      <c r="N161" s="245">
        <f t="shared" si="45"/>
        <v>0</v>
      </c>
      <c r="O161" s="245">
        <f t="shared" si="45"/>
        <v>0</v>
      </c>
      <c r="P161" s="245">
        <f t="shared" si="45"/>
        <v>0</v>
      </c>
      <c r="Q161" s="245">
        <f t="shared" si="45"/>
        <v>0</v>
      </c>
      <c r="R161" s="245">
        <f t="shared" si="45"/>
        <v>0</v>
      </c>
      <c r="S161" s="245">
        <f t="shared" si="45"/>
        <v>0</v>
      </c>
      <c r="T161" s="245">
        <f t="shared" si="45"/>
        <v>0</v>
      </c>
      <c r="U161" s="245">
        <f t="shared" si="45"/>
        <v>0</v>
      </c>
      <c r="V161" s="245">
        <f t="shared" si="45"/>
        <v>0</v>
      </c>
      <c r="W161" s="245">
        <f t="shared" si="45"/>
        <v>0</v>
      </c>
      <c r="X161" s="245">
        <f t="shared" si="45"/>
        <v>0</v>
      </c>
      <c r="Y161" s="245">
        <f t="shared" si="45"/>
        <v>0</v>
      </c>
      <c r="Z161" s="213">
        <f t="shared" si="42"/>
        <v>0</v>
      </c>
    </row>
    <row r="162" spans="1:26" hidden="1" x14ac:dyDescent="0.2">
      <c r="A162" s="3">
        <f>A161+1</f>
        <v>2</v>
      </c>
      <c r="B162" s="256">
        <f t="shared" si="44"/>
        <v>0</v>
      </c>
      <c r="C162" s="256">
        <f t="shared" si="44"/>
        <v>0</v>
      </c>
      <c r="D162" s="256">
        <f t="shared" si="44"/>
        <v>0</v>
      </c>
      <c r="E162" s="256">
        <f t="shared" si="44"/>
        <v>0</v>
      </c>
      <c r="F162" s="245">
        <f t="shared" si="45"/>
        <v>0</v>
      </c>
      <c r="G162" s="245">
        <f t="shared" si="45"/>
        <v>0</v>
      </c>
      <c r="H162" s="245">
        <f t="shared" si="45"/>
        <v>0</v>
      </c>
      <c r="I162" s="245">
        <f t="shared" si="45"/>
        <v>0</v>
      </c>
      <c r="J162" s="245">
        <f t="shared" si="45"/>
        <v>0</v>
      </c>
      <c r="K162" s="245">
        <f t="shared" si="45"/>
        <v>0</v>
      </c>
      <c r="L162" s="245">
        <f t="shared" si="45"/>
        <v>0</v>
      </c>
      <c r="M162" s="245">
        <f t="shared" si="45"/>
        <v>0</v>
      </c>
      <c r="N162" s="245">
        <f t="shared" si="45"/>
        <v>0</v>
      </c>
      <c r="O162" s="245">
        <f t="shared" si="45"/>
        <v>0</v>
      </c>
      <c r="P162" s="245">
        <f t="shared" si="45"/>
        <v>0</v>
      </c>
      <c r="Q162" s="245">
        <f t="shared" si="45"/>
        <v>0</v>
      </c>
      <c r="R162" s="245">
        <f t="shared" si="45"/>
        <v>0</v>
      </c>
      <c r="S162" s="245">
        <f t="shared" si="45"/>
        <v>0</v>
      </c>
      <c r="T162" s="245">
        <f t="shared" si="45"/>
        <v>0</v>
      </c>
      <c r="U162" s="245">
        <f t="shared" si="45"/>
        <v>0</v>
      </c>
      <c r="V162" s="245">
        <f t="shared" si="45"/>
        <v>0</v>
      </c>
      <c r="W162" s="245">
        <f t="shared" si="45"/>
        <v>0</v>
      </c>
      <c r="X162" s="245">
        <f t="shared" si="45"/>
        <v>0</v>
      </c>
      <c r="Y162" s="245">
        <f t="shared" si="45"/>
        <v>0</v>
      </c>
      <c r="Z162" s="213">
        <f t="shared" si="42"/>
        <v>0</v>
      </c>
    </row>
    <row r="163" spans="1:26" hidden="1" x14ac:dyDescent="0.2">
      <c r="A163" s="3">
        <f t="shared" ref="A163:A172" si="46">A162+1</f>
        <v>3</v>
      </c>
      <c r="B163" s="256">
        <f t="shared" si="44"/>
        <v>0</v>
      </c>
      <c r="C163" s="256">
        <f t="shared" si="44"/>
        <v>0</v>
      </c>
      <c r="D163" s="256">
        <f t="shared" si="44"/>
        <v>0</v>
      </c>
      <c r="E163" s="256">
        <f t="shared" si="44"/>
        <v>0</v>
      </c>
      <c r="F163" s="245">
        <f t="shared" si="45"/>
        <v>0</v>
      </c>
      <c r="G163" s="245">
        <f t="shared" si="45"/>
        <v>0</v>
      </c>
      <c r="H163" s="245">
        <f t="shared" si="45"/>
        <v>0</v>
      </c>
      <c r="I163" s="245">
        <f t="shared" si="45"/>
        <v>0</v>
      </c>
      <c r="J163" s="245">
        <f t="shared" si="45"/>
        <v>0</v>
      </c>
      <c r="K163" s="245">
        <f t="shared" si="45"/>
        <v>0</v>
      </c>
      <c r="L163" s="245">
        <f t="shared" si="45"/>
        <v>0</v>
      </c>
      <c r="M163" s="245">
        <f t="shared" si="45"/>
        <v>0</v>
      </c>
      <c r="N163" s="245">
        <f t="shared" si="45"/>
        <v>0</v>
      </c>
      <c r="O163" s="245">
        <f t="shared" si="45"/>
        <v>0</v>
      </c>
      <c r="P163" s="245">
        <f t="shared" si="45"/>
        <v>0</v>
      </c>
      <c r="Q163" s="245">
        <f t="shared" si="45"/>
        <v>0</v>
      </c>
      <c r="R163" s="245">
        <f t="shared" si="45"/>
        <v>0</v>
      </c>
      <c r="S163" s="245">
        <f t="shared" si="45"/>
        <v>0</v>
      </c>
      <c r="T163" s="245">
        <f t="shared" si="45"/>
        <v>0</v>
      </c>
      <c r="U163" s="245">
        <f t="shared" si="45"/>
        <v>0</v>
      </c>
      <c r="V163" s="245">
        <f t="shared" si="45"/>
        <v>0</v>
      </c>
      <c r="W163" s="245">
        <f t="shared" si="45"/>
        <v>0</v>
      </c>
      <c r="X163" s="245">
        <f t="shared" si="45"/>
        <v>0</v>
      </c>
      <c r="Y163" s="245">
        <f t="shared" si="45"/>
        <v>0</v>
      </c>
      <c r="Z163" s="213">
        <f t="shared" si="42"/>
        <v>0</v>
      </c>
    </row>
    <row r="164" spans="1:26" hidden="1" x14ac:dyDescent="0.2">
      <c r="A164" s="3">
        <f t="shared" si="46"/>
        <v>4</v>
      </c>
      <c r="B164" s="256">
        <f t="shared" si="44"/>
        <v>0</v>
      </c>
      <c r="C164" s="256">
        <f t="shared" si="44"/>
        <v>0</v>
      </c>
      <c r="D164" s="256">
        <f t="shared" si="44"/>
        <v>0</v>
      </c>
      <c r="E164" s="256">
        <f t="shared" si="44"/>
        <v>0</v>
      </c>
      <c r="F164" s="245">
        <f t="shared" si="45"/>
        <v>0</v>
      </c>
      <c r="G164" s="245">
        <f t="shared" si="45"/>
        <v>0</v>
      </c>
      <c r="H164" s="245">
        <f t="shared" si="45"/>
        <v>0</v>
      </c>
      <c r="I164" s="245">
        <f t="shared" si="45"/>
        <v>0</v>
      </c>
      <c r="J164" s="245">
        <f t="shared" si="45"/>
        <v>0</v>
      </c>
      <c r="K164" s="245">
        <f t="shared" si="45"/>
        <v>0</v>
      </c>
      <c r="L164" s="245">
        <f t="shared" si="45"/>
        <v>0</v>
      </c>
      <c r="M164" s="245">
        <f t="shared" si="45"/>
        <v>0</v>
      </c>
      <c r="N164" s="245">
        <f t="shared" si="45"/>
        <v>0</v>
      </c>
      <c r="O164" s="245">
        <f t="shared" si="45"/>
        <v>0</v>
      </c>
      <c r="P164" s="245">
        <f t="shared" si="45"/>
        <v>0</v>
      </c>
      <c r="Q164" s="245">
        <f t="shared" si="45"/>
        <v>0</v>
      </c>
      <c r="R164" s="245">
        <f t="shared" si="45"/>
        <v>0</v>
      </c>
      <c r="S164" s="245">
        <f t="shared" si="45"/>
        <v>0</v>
      </c>
      <c r="T164" s="245">
        <f t="shared" si="45"/>
        <v>0</v>
      </c>
      <c r="U164" s="245">
        <f t="shared" si="45"/>
        <v>0</v>
      </c>
      <c r="V164" s="245">
        <f t="shared" si="45"/>
        <v>0</v>
      </c>
      <c r="W164" s="245">
        <f t="shared" si="45"/>
        <v>0</v>
      </c>
      <c r="X164" s="245">
        <f t="shared" si="45"/>
        <v>0</v>
      </c>
      <c r="Y164" s="245">
        <f t="shared" si="45"/>
        <v>0</v>
      </c>
      <c r="Z164" s="213">
        <f t="shared" si="42"/>
        <v>0</v>
      </c>
    </row>
    <row r="165" spans="1:26" hidden="1" x14ac:dyDescent="0.2">
      <c r="A165" s="3">
        <f t="shared" si="46"/>
        <v>5</v>
      </c>
      <c r="B165" s="256">
        <f t="shared" si="44"/>
        <v>0</v>
      </c>
      <c r="C165" s="256">
        <f t="shared" si="44"/>
        <v>0</v>
      </c>
      <c r="D165" s="256">
        <f t="shared" si="44"/>
        <v>0</v>
      </c>
      <c r="E165" s="256">
        <f t="shared" si="44"/>
        <v>0</v>
      </c>
      <c r="F165" s="245">
        <f t="shared" si="45"/>
        <v>0</v>
      </c>
      <c r="G165" s="245">
        <f t="shared" si="45"/>
        <v>0</v>
      </c>
      <c r="H165" s="245">
        <f t="shared" si="45"/>
        <v>0</v>
      </c>
      <c r="I165" s="245">
        <f t="shared" si="45"/>
        <v>0</v>
      </c>
      <c r="J165" s="245">
        <f t="shared" si="45"/>
        <v>0</v>
      </c>
      <c r="K165" s="245">
        <f t="shared" si="45"/>
        <v>0</v>
      </c>
      <c r="L165" s="245">
        <f t="shared" si="45"/>
        <v>0</v>
      </c>
      <c r="M165" s="245">
        <f t="shared" si="45"/>
        <v>0</v>
      </c>
      <c r="N165" s="245">
        <f t="shared" si="45"/>
        <v>0</v>
      </c>
      <c r="O165" s="245">
        <f t="shared" si="45"/>
        <v>0</v>
      </c>
      <c r="P165" s="245">
        <f t="shared" si="45"/>
        <v>0</v>
      </c>
      <c r="Q165" s="245">
        <f t="shared" si="45"/>
        <v>0</v>
      </c>
      <c r="R165" s="245">
        <f t="shared" si="45"/>
        <v>0</v>
      </c>
      <c r="S165" s="245">
        <f t="shared" si="45"/>
        <v>0</v>
      </c>
      <c r="T165" s="245">
        <f t="shared" si="45"/>
        <v>0</v>
      </c>
      <c r="U165" s="245">
        <f t="shared" si="45"/>
        <v>0</v>
      </c>
      <c r="V165" s="245">
        <f t="shared" si="45"/>
        <v>0</v>
      </c>
      <c r="W165" s="245">
        <f t="shared" si="45"/>
        <v>0</v>
      </c>
      <c r="X165" s="245">
        <f t="shared" si="45"/>
        <v>0</v>
      </c>
      <c r="Y165" s="245">
        <f t="shared" si="45"/>
        <v>0</v>
      </c>
      <c r="Z165" s="213">
        <f t="shared" si="42"/>
        <v>0</v>
      </c>
    </row>
    <row r="166" spans="1:26" hidden="1" x14ac:dyDescent="0.2">
      <c r="A166" s="3">
        <f t="shared" si="46"/>
        <v>6</v>
      </c>
      <c r="B166" s="256">
        <f t="shared" si="44"/>
        <v>0</v>
      </c>
      <c r="C166" s="256">
        <f t="shared" si="44"/>
        <v>0</v>
      </c>
      <c r="D166" s="256">
        <f t="shared" si="44"/>
        <v>0</v>
      </c>
      <c r="E166" s="256">
        <f t="shared" si="44"/>
        <v>0</v>
      </c>
      <c r="F166" s="245">
        <f t="shared" si="45"/>
        <v>0</v>
      </c>
      <c r="G166" s="245">
        <f t="shared" si="45"/>
        <v>0</v>
      </c>
      <c r="H166" s="245">
        <f t="shared" si="45"/>
        <v>0</v>
      </c>
      <c r="I166" s="245">
        <f t="shared" si="45"/>
        <v>0</v>
      </c>
      <c r="J166" s="245">
        <f t="shared" si="45"/>
        <v>0</v>
      </c>
      <c r="K166" s="245">
        <f t="shared" si="45"/>
        <v>0</v>
      </c>
      <c r="L166" s="245">
        <f t="shared" si="45"/>
        <v>0</v>
      </c>
      <c r="M166" s="245">
        <f t="shared" si="45"/>
        <v>0</v>
      </c>
      <c r="N166" s="245">
        <f t="shared" si="45"/>
        <v>0</v>
      </c>
      <c r="O166" s="245">
        <f t="shared" si="45"/>
        <v>0</v>
      </c>
      <c r="P166" s="245">
        <f t="shared" si="45"/>
        <v>0</v>
      </c>
      <c r="Q166" s="245">
        <f t="shared" si="45"/>
        <v>0</v>
      </c>
      <c r="R166" s="245">
        <f t="shared" si="45"/>
        <v>0</v>
      </c>
      <c r="S166" s="245">
        <f t="shared" si="45"/>
        <v>0</v>
      </c>
      <c r="T166" s="245">
        <f t="shared" si="45"/>
        <v>0</v>
      </c>
      <c r="U166" s="245">
        <f t="shared" si="45"/>
        <v>0</v>
      </c>
      <c r="V166" s="245">
        <f t="shared" si="45"/>
        <v>0</v>
      </c>
      <c r="W166" s="245">
        <f t="shared" si="45"/>
        <v>0</v>
      </c>
      <c r="X166" s="245">
        <f t="shared" si="45"/>
        <v>0</v>
      </c>
      <c r="Y166" s="245">
        <f t="shared" si="45"/>
        <v>0</v>
      </c>
      <c r="Z166" s="213">
        <f t="shared" si="42"/>
        <v>0</v>
      </c>
    </row>
    <row r="167" spans="1:26" hidden="1" x14ac:dyDescent="0.2">
      <c r="A167" s="3">
        <f t="shared" si="46"/>
        <v>7</v>
      </c>
      <c r="B167" s="256">
        <f t="shared" si="44"/>
        <v>0</v>
      </c>
      <c r="C167" s="256">
        <f t="shared" si="44"/>
        <v>0</v>
      </c>
      <c r="D167" s="256">
        <f t="shared" si="44"/>
        <v>0</v>
      </c>
      <c r="E167" s="256">
        <f t="shared" si="44"/>
        <v>0</v>
      </c>
      <c r="F167" s="245">
        <f t="shared" si="45"/>
        <v>0</v>
      </c>
      <c r="G167" s="245">
        <f t="shared" si="45"/>
        <v>0</v>
      </c>
      <c r="H167" s="245">
        <f t="shared" si="45"/>
        <v>0</v>
      </c>
      <c r="I167" s="245">
        <f t="shared" si="45"/>
        <v>0</v>
      </c>
      <c r="J167" s="245">
        <f t="shared" si="45"/>
        <v>0</v>
      </c>
      <c r="K167" s="245">
        <f t="shared" si="45"/>
        <v>0</v>
      </c>
      <c r="L167" s="245">
        <f t="shared" si="45"/>
        <v>0</v>
      </c>
      <c r="M167" s="245">
        <f t="shared" si="45"/>
        <v>0</v>
      </c>
      <c r="N167" s="245">
        <f t="shared" si="45"/>
        <v>0</v>
      </c>
      <c r="O167" s="245">
        <f t="shared" si="45"/>
        <v>0</v>
      </c>
      <c r="P167" s="245">
        <f t="shared" si="45"/>
        <v>0</v>
      </c>
      <c r="Q167" s="245">
        <f t="shared" si="45"/>
        <v>0</v>
      </c>
      <c r="R167" s="245">
        <f t="shared" si="45"/>
        <v>0</v>
      </c>
      <c r="S167" s="245">
        <f t="shared" si="45"/>
        <v>0</v>
      </c>
      <c r="T167" s="245">
        <f t="shared" si="45"/>
        <v>0</v>
      </c>
      <c r="U167" s="245">
        <f t="shared" si="45"/>
        <v>0</v>
      </c>
      <c r="V167" s="245">
        <f t="shared" si="45"/>
        <v>0</v>
      </c>
      <c r="W167" s="245">
        <f t="shared" si="45"/>
        <v>0</v>
      </c>
      <c r="X167" s="245">
        <f t="shared" si="45"/>
        <v>0</v>
      </c>
      <c r="Y167" s="245">
        <f t="shared" si="45"/>
        <v>0</v>
      </c>
      <c r="Z167" s="213">
        <f t="shared" si="42"/>
        <v>0</v>
      </c>
    </row>
    <row r="168" spans="1:26" hidden="1" x14ac:dyDescent="0.2">
      <c r="A168" s="3">
        <f t="shared" si="46"/>
        <v>8</v>
      </c>
      <c r="B168" s="256">
        <f t="shared" si="44"/>
        <v>0</v>
      </c>
      <c r="C168" s="256">
        <f t="shared" si="44"/>
        <v>0</v>
      </c>
      <c r="D168" s="256">
        <f t="shared" si="44"/>
        <v>0</v>
      </c>
      <c r="E168" s="256">
        <f t="shared" si="44"/>
        <v>0</v>
      </c>
      <c r="F168" s="245">
        <f t="shared" si="45"/>
        <v>0</v>
      </c>
      <c r="G168" s="245">
        <f t="shared" si="45"/>
        <v>0</v>
      </c>
      <c r="H168" s="245">
        <f t="shared" si="45"/>
        <v>0</v>
      </c>
      <c r="I168" s="245">
        <f t="shared" si="45"/>
        <v>0</v>
      </c>
      <c r="J168" s="245">
        <f t="shared" si="45"/>
        <v>0</v>
      </c>
      <c r="K168" s="245">
        <f t="shared" si="45"/>
        <v>0</v>
      </c>
      <c r="L168" s="245">
        <f t="shared" si="45"/>
        <v>0</v>
      </c>
      <c r="M168" s="245">
        <f t="shared" si="45"/>
        <v>0</v>
      </c>
      <c r="N168" s="245">
        <f t="shared" si="45"/>
        <v>0</v>
      </c>
      <c r="O168" s="245">
        <f t="shared" si="45"/>
        <v>0</v>
      </c>
      <c r="P168" s="245">
        <f t="shared" si="45"/>
        <v>0</v>
      </c>
      <c r="Q168" s="245">
        <f t="shared" si="45"/>
        <v>0</v>
      </c>
      <c r="R168" s="245">
        <f t="shared" si="45"/>
        <v>0</v>
      </c>
      <c r="S168" s="245">
        <f t="shared" si="45"/>
        <v>0</v>
      </c>
      <c r="T168" s="245">
        <f t="shared" si="45"/>
        <v>0</v>
      </c>
      <c r="U168" s="245">
        <f t="shared" si="45"/>
        <v>0</v>
      </c>
      <c r="V168" s="245">
        <f t="shared" si="45"/>
        <v>0</v>
      </c>
      <c r="W168" s="245">
        <f t="shared" si="45"/>
        <v>0</v>
      </c>
      <c r="X168" s="245">
        <f t="shared" si="45"/>
        <v>0</v>
      </c>
      <c r="Y168" s="245">
        <f t="shared" si="45"/>
        <v>0</v>
      </c>
      <c r="Z168" s="213">
        <f t="shared" si="42"/>
        <v>0</v>
      </c>
    </row>
    <row r="169" spans="1:26" hidden="1" x14ac:dyDescent="0.2">
      <c r="A169" s="3">
        <f t="shared" si="46"/>
        <v>9</v>
      </c>
      <c r="B169" s="256">
        <f t="shared" si="44"/>
        <v>0</v>
      </c>
      <c r="C169" s="256">
        <f t="shared" si="44"/>
        <v>0</v>
      </c>
      <c r="D169" s="256">
        <f t="shared" si="44"/>
        <v>0</v>
      </c>
      <c r="E169" s="256">
        <f t="shared" si="44"/>
        <v>0</v>
      </c>
      <c r="F169" s="245">
        <f t="shared" si="45"/>
        <v>0</v>
      </c>
      <c r="G169" s="245">
        <f t="shared" si="45"/>
        <v>0</v>
      </c>
      <c r="H169" s="245">
        <f t="shared" si="45"/>
        <v>0</v>
      </c>
      <c r="I169" s="245">
        <f t="shared" si="45"/>
        <v>0</v>
      </c>
      <c r="J169" s="245">
        <f t="shared" si="45"/>
        <v>0</v>
      </c>
      <c r="K169" s="245">
        <f t="shared" si="45"/>
        <v>0</v>
      </c>
      <c r="L169" s="245">
        <f t="shared" si="45"/>
        <v>0</v>
      </c>
      <c r="M169" s="245">
        <f t="shared" si="45"/>
        <v>0</v>
      </c>
      <c r="N169" s="245">
        <f t="shared" si="45"/>
        <v>0</v>
      </c>
      <c r="O169" s="245">
        <f t="shared" si="45"/>
        <v>0</v>
      </c>
      <c r="P169" s="245">
        <f t="shared" si="45"/>
        <v>0</v>
      </c>
      <c r="Q169" s="245">
        <f t="shared" si="45"/>
        <v>0</v>
      </c>
      <c r="R169" s="245">
        <f t="shared" si="45"/>
        <v>0</v>
      </c>
      <c r="S169" s="245">
        <f t="shared" si="45"/>
        <v>0</v>
      </c>
      <c r="T169" s="245">
        <f t="shared" si="45"/>
        <v>0</v>
      </c>
      <c r="U169" s="245">
        <f t="shared" si="45"/>
        <v>0</v>
      </c>
      <c r="V169" s="245">
        <f t="shared" si="45"/>
        <v>0</v>
      </c>
      <c r="W169" s="245">
        <f t="shared" si="45"/>
        <v>0</v>
      </c>
      <c r="X169" s="245">
        <f t="shared" si="45"/>
        <v>0</v>
      </c>
      <c r="Y169" s="245">
        <f t="shared" si="45"/>
        <v>0</v>
      </c>
      <c r="Z169" s="213">
        <f t="shared" si="42"/>
        <v>0</v>
      </c>
    </row>
    <row r="170" spans="1:26" hidden="1" x14ac:dyDescent="0.2">
      <c r="A170" s="3">
        <f t="shared" si="46"/>
        <v>10</v>
      </c>
      <c r="B170" s="256">
        <f t="shared" si="44"/>
        <v>0</v>
      </c>
      <c r="C170" s="256">
        <f t="shared" si="44"/>
        <v>0</v>
      </c>
      <c r="D170" s="256">
        <f t="shared" si="44"/>
        <v>0</v>
      </c>
      <c r="E170" s="256">
        <f t="shared" si="44"/>
        <v>0</v>
      </c>
      <c r="F170" s="245">
        <f t="shared" si="45"/>
        <v>0</v>
      </c>
      <c r="G170" s="245">
        <f t="shared" si="45"/>
        <v>0</v>
      </c>
      <c r="H170" s="245">
        <f t="shared" si="45"/>
        <v>0</v>
      </c>
      <c r="I170" s="245">
        <f t="shared" si="45"/>
        <v>0</v>
      </c>
      <c r="J170" s="245">
        <f t="shared" si="45"/>
        <v>0</v>
      </c>
      <c r="K170" s="245">
        <f t="shared" si="45"/>
        <v>0</v>
      </c>
      <c r="L170" s="245">
        <f t="shared" si="45"/>
        <v>0</v>
      </c>
      <c r="M170" s="245">
        <f t="shared" si="45"/>
        <v>0</v>
      </c>
      <c r="N170" s="245">
        <f t="shared" si="45"/>
        <v>0</v>
      </c>
      <c r="O170" s="245">
        <f t="shared" si="45"/>
        <v>0</v>
      </c>
      <c r="P170" s="245">
        <f t="shared" si="45"/>
        <v>0</v>
      </c>
      <c r="Q170" s="245">
        <f t="shared" si="45"/>
        <v>0</v>
      </c>
      <c r="R170" s="245">
        <f t="shared" si="45"/>
        <v>0</v>
      </c>
      <c r="S170" s="245">
        <f t="shared" si="45"/>
        <v>0</v>
      </c>
      <c r="T170" s="245">
        <f t="shared" si="45"/>
        <v>0</v>
      </c>
      <c r="U170" s="245">
        <f t="shared" si="45"/>
        <v>0</v>
      </c>
      <c r="V170" s="245">
        <f t="shared" si="45"/>
        <v>0</v>
      </c>
      <c r="W170" s="245">
        <f t="shared" si="45"/>
        <v>0</v>
      </c>
      <c r="X170" s="245">
        <f t="shared" si="45"/>
        <v>0</v>
      </c>
      <c r="Y170" s="245">
        <f t="shared" si="45"/>
        <v>0</v>
      </c>
      <c r="Z170" s="213">
        <f t="shared" si="42"/>
        <v>0</v>
      </c>
    </row>
    <row r="171" spans="1:26" hidden="1" x14ac:dyDescent="0.2">
      <c r="A171" s="3">
        <f t="shared" si="46"/>
        <v>11</v>
      </c>
      <c r="B171" s="256">
        <f t="shared" si="44"/>
        <v>0</v>
      </c>
      <c r="C171" s="256">
        <f t="shared" si="44"/>
        <v>0</v>
      </c>
      <c r="D171" s="256">
        <f t="shared" si="44"/>
        <v>0</v>
      </c>
      <c r="E171" s="256">
        <f t="shared" si="44"/>
        <v>0</v>
      </c>
      <c r="F171" s="245">
        <f t="shared" si="45"/>
        <v>0</v>
      </c>
      <c r="G171" s="245">
        <f t="shared" si="45"/>
        <v>0</v>
      </c>
      <c r="H171" s="245">
        <f t="shared" si="45"/>
        <v>0</v>
      </c>
      <c r="I171" s="245">
        <f t="shared" si="45"/>
        <v>0</v>
      </c>
      <c r="J171" s="245">
        <f t="shared" si="45"/>
        <v>0</v>
      </c>
      <c r="K171" s="245">
        <f t="shared" si="45"/>
        <v>0</v>
      </c>
      <c r="L171" s="245">
        <f t="shared" si="45"/>
        <v>0</v>
      </c>
      <c r="M171" s="245">
        <f t="shared" si="45"/>
        <v>0</v>
      </c>
      <c r="N171" s="245">
        <f t="shared" si="45"/>
        <v>0</v>
      </c>
      <c r="O171" s="245">
        <f t="shared" si="45"/>
        <v>0</v>
      </c>
      <c r="P171" s="245">
        <f t="shared" si="45"/>
        <v>0</v>
      </c>
      <c r="Q171" s="245">
        <f t="shared" si="45"/>
        <v>0</v>
      </c>
      <c r="R171" s="245">
        <f t="shared" si="45"/>
        <v>0</v>
      </c>
      <c r="S171" s="245">
        <f t="shared" si="45"/>
        <v>0</v>
      </c>
      <c r="T171" s="245">
        <f t="shared" si="45"/>
        <v>0</v>
      </c>
      <c r="U171" s="245">
        <f t="shared" si="45"/>
        <v>0</v>
      </c>
      <c r="V171" s="245">
        <f t="shared" si="45"/>
        <v>0</v>
      </c>
      <c r="W171" s="245">
        <f t="shared" si="45"/>
        <v>0</v>
      </c>
      <c r="X171" s="245">
        <f t="shared" si="45"/>
        <v>0</v>
      </c>
      <c r="Y171" s="245">
        <f t="shared" si="45"/>
        <v>0</v>
      </c>
      <c r="Z171" s="213">
        <f t="shared" si="42"/>
        <v>0</v>
      </c>
    </row>
    <row r="172" spans="1:26" hidden="1" x14ac:dyDescent="0.2">
      <c r="A172" s="3">
        <f t="shared" si="46"/>
        <v>12</v>
      </c>
      <c r="B172" s="256">
        <f t="shared" si="44"/>
        <v>0</v>
      </c>
      <c r="C172" s="256">
        <f t="shared" si="44"/>
        <v>0</v>
      </c>
      <c r="D172" s="256">
        <f t="shared" si="44"/>
        <v>0</v>
      </c>
      <c r="E172" s="256">
        <f t="shared" si="44"/>
        <v>0</v>
      </c>
      <c r="F172" s="245">
        <f t="shared" si="45"/>
        <v>0</v>
      </c>
      <c r="G172" s="245">
        <f t="shared" si="45"/>
        <v>0</v>
      </c>
      <c r="H172" s="245">
        <f t="shared" si="45"/>
        <v>0</v>
      </c>
      <c r="I172" s="245">
        <f t="shared" si="45"/>
        <v>0</v>
      </c>
      <c r="J172" s="245">
        <f t="shared" si="45"/>
        <v>0</v>
      </c>
      <c r="K172" s="245">
        <f t="shared" si="45"/>
        <v>0</v>
      </c>
      <c r="L172" s="245">
        <f t="shared" si="45"/>
        <v>0</v>
      </c>
      <c r="M172" s="245">
        <f t="shared" si="45"/>
        <v>0</v>
      </c>
      <c r="N172" s="245">
        <f t="shared" si="45"/>
        <v>0</v>
      </c>
      <c r="O172" s="245">
        <f t="shared" si="45"/>
        <v>0</v>
      </c>
      <c r="P172" s="245">
        <f t="shared" si="45"/>
        <v>0</v>
      </c>
      <c r="Q172" s="245">
        <f t="shared" si="45"/>
        <v>0</v>
      </c>
      <c r="R172" s="245">
        <f t="shared" si="45"/>
        <v>0</v>
      </c>
      <c r="S172" s="245">
        <f t="shared" si="45"/>
        <v>0</v>
      </c>
      <c r="T172" s="245">
        <f t="shared" si="45"/>
        <v>0</v>
      </c>
      <c r="U172" s="245">
        <f t="shared" si="45"/>
        <v>0</v>
      </c>
      <c r="V172" s="245">
        <f t="shared" si="45"/>
        <v>0</v>
      </c>
      <c r="W172" s="245">
        <f t="shared" si="45"/>
        <v>0</v>
      </c>
      <c r="X172" s="245">
        <f t="shared" si="45"/>
        <v>0</v>
      </c>
      <c r="Y172" s="245">
        <f t="shared" si="45"/>
        <v>0</v>
      </c>
      <c r="Z172" s="213">
        <f t="shared" si="42"/>
        <v>0</v>
      </c>
    </row>
    <row r="173" spans="1:26" hidden="1" x14ac:dyDescent="0.2"/>
    <row r="174" spans="1:26" hidden="1" x14ac:dyDescent="0.2"/>
    <row r="175" spans="1:26" hidden="1" x14ac:dyDescent="0.2">
      <c r="A175" s="3" t="s">
        <v>218</v>
      </c>
    </row>
    <row r="176" spans="1:26" hidden="1" x14ac:dyDescent="0.2">
      <c r="A176" s="3">
        <v>1</v>
      </c>
      <c r="B176" s="213">
        <f>B147-B161</f>
        <v>0</v>
      </c>
      <c r="C176" s="213">
        <f t="shared" ref="C176:Y176" si="47">C147-C161</f>
        <v>0</v>
      </c>
      <c r="D176" s="213">
        <f t="shared" si="47"/>
        <v>0</v>
      </c>
      <c r="E176" s="213">
        <f t="shared" si="47"/>
        <v>0</v>
      </c>
      <c r="F176" s="213">
        <f t="shared" si="47"/>
        <v>0</v>
      </c>
      <c r="G176" s="213">
        <f t="shared" si="47"/>
        <v>0</v>
      </c>
      <c r="H176" s="213">
        <f t="shared" si="47"/>
        <v>0</v>
      </c>
      <c r="I176" s="213">
        <f t="shared" si="47"/>
        <v>0</v>
      </c>
      <c r="J176" s="213">
        <f t="shared" si="47"/>
        <v>0</v>
      </c>
      <c r="K176" s="213">
        <f t="shared" si="47"/>
        <v>0</v>
      </c>
      <c r="L176" s="213">
        <f t="shared" si="47"/>
        <v>0</v>
      </c>
      <c r="M176" s="213">
        <f t="shared" si="47"/>
        <v>0</v>
      </c>
      <c r="N176" s="213">
        <f t="shared" si="47"/>
        <v>0</v>
      </c>
      <c r="O176" s="213">
        <f t="shared" si="47"/>
        <v>0</v>
      </c>
      <c r="P176" s="213">
        <f t="shared" si="47"/>
        <v>0</v>
      </c>
      <c r="Q176" s="213">
        <f t="shared" si="47"/>
        <v>0</v>
      </c>
      <c r="R176" s="213">
        <f t="shared" si="47"/>
        <v>0</v>
      </c>
      <c r="S176" s="213">
        <f t="shared" si="47"/>
        <v>0</v>
      </c>
      <c r="T176" s="213">
        <f t="shared" si="47"/>
        <v>0</v>
      </c>
      <c r="U176" s="213">
        <f t="shared" si="47"/>
        <v>0</v>
      </c>
      <c r="V176" s="213">
        <f t="shared" si="47"/>
        <v>0</v>
      </c>
      <c r="W176" s="213">
        <f t="shared" si="47"/>
        <v>0</v>
      </c>
      <c r="X176" s="213">
        <f t="shared" si="47"/>
        <v>0</v>
      </c>
      <c r="Y176" s="213">
        <f t="shared" si="47"/>
        <v>0</v>
      </c>
      <c r="Z176" s="213">
        <f>SUM(B176:Y176)</f>
        <v>0</v>
      </c>
    </row>
    <row r="177" spans="1:26" hidden="1" x14ac:dyDescent="0.2">
      <c r="A177" s="3">
        <f>A176+1</f>
        <v>2</v>
      </c>
      <c r="B177" s="213">
        <f t="shared" ref="B177:Y187" si="48">B148-B162</f>
        <v>0</v>
      </c>
      <c r="C177" s="213">
        <f t="shared" si="48"/>
        <v>0</v>
      </c>
      <c r="D177" s="213">
        <f t="shared" si="48"/>
        <v>0</v>
      </c>
      <c r="E177" s="213">
        <f t="shared" si="48"/>
        <v>0</v>
      </c>
      <c r="F177" s="213">
        <f t="shared" si="48"/>
        <v>0</v>
      </c>
      <c r="G177" s="213">
        <f t="shared" si="48"/>
        <v>0</v>
      </c>
      <c r="H177" s="213">
        <f t="shared" si="48"/>
        <v>0</v>
      </c>
      <c r="I177" s="213">
        <f t="shared" si="48"/>
        <v>0</v>
      </c>
      <c r="J177" s="213">
        <f t="shared" si="48"/>
        <v>0</v>
      </c>
      <c r="K177" s="213">
        <f t="shared" si="48"/>
        <v>0</v>
      </c>
      <c r="L177" s="213">
        <f t="shared" si="48"/>
        <v>0</v>
      </c>
      <c r="M177" s="213">
        <f t="shared" si="48"/>
        <v>0</v>
      </c>
      <c r="N177" s="213">
        <f t="shared" si="48"/>
        <v>0</v>
      </c>
      <c r="O177" s="213">
        <f t="shared" si="48"/>
        <v>0</v>
      </c>
      <c r="P177" s="213">
        <f t="shared" si="48"/>
        <v>0</v>
      </c>
      <c r="Q177" s="213">
        <f t="shared" si="48"/>
        <v>0</v>
      </c>
      <c r="R177" s="213">
        <f t="shared" si="48"/>
        <v>0</v>
      </c>
      <c r="S177" s="213">
        <f t="shared" si="48"/>
        <v>0</v>
      </c>
      <c r="T177" s="213">
        <f t="shared" si="48"/>
        <v>0</v>
      </c>
      <c r="U177" s="213">
        <f t="shared" si="48"/>
        <v>0</v>
      </c>
      <c r="V177" s="213">
        <f t="shared" si="48"/>
        <v>0</v>
      </c>
      <c r="W177" s="213">
        <f t="shared" si="48"/>
        <v>0</v>
      </c>
      <c r="X177" s="213">
        <f t="shared" si="48"/>
        <v>0</v>
      </c>
      <c r="Y177" s="213">
        <f t="shared" si="48"/>
        <v>0</v>
      </c>
      <c r="Z177" s="213">
        <f t="shared" ref="Z177:Z187" si="49">SUM(B177:Y177)</f>
        <v>0</v>
      </c>
    </row>
    <row r="178" spans="1:26" hidden="1" x14ac:dyDescent="0.2">
      <c r="A178" s="3">
        <f t="shared" ref="A178:A187" si="50">A177+1</f>
        <v>3</v>
      </c>
      <c r="B178" s="213">
        <f t="shared" si="48"/>
        <v>0</v>
      </c>
      <c r="C178" s="213">
        <f t="shared" si="48"/>
        <v>0</v>
      </c>
      <c r="D178" s="213">
        <f t="shared" si="48"/>
        <v>0</v>
      </c>
      <c r="E178" s="213">
        <f t="shared" si="48"/>
        <v>0</v>
      </c>
      <c r="F178" s="213">
        <f t="shared" si="48"/>
        <v>0</v>
      </c>
      <c r="G178" s="213">
        <f t="shared" si="48"/>
        <v>0</v>
      </c>
      <c r="H178" s="213">
        <f t="shared" si="48"/>
        <v>0</v>
      </c>
      <c r="I178" s="213">
        <f t="shared" si="48"/>
        <v>0</v>
      </c>
      <c r="J178" s="213">
        <f t="shared" si="48"/>
        <v>0</v>
      </c>
      <c r="K178" s="213">
        <f t="shared" si="48"/>
        <v>0</v>
      </c>
      <c r="L178" s="213">
        <f t="shared" si="48"/>
        <v>0</v>
      </c>
      <c r="M178" s="213">
        <f t="shared" si="48"/>
        <v>0</v>
      </c>
      <c r="N178" s="213">
        <f t="shared" si="48"/>
        <v>0</v>
      </c>
      <c r="O178" s="213">
        <f t="shared" si="48"/>
        <v>0</v>
      </c>
      <c r="P178" s="213">
        <f t="shared" si="48"/>
        <v>0</v>
      </c>
      <c r="Q178" s="213">
        <f t="shared" si="48"/>
        <v>0</v>
      </c>
      <c r="R178" s="213">
        <f t="shared" si="48"/>
        <v>0</v>
      </c>
      <c r="S178" s="213">
        <f t="shared" si="48"/>
        <v>0</v>
      </c>
      <c r="T178" s="213">
        <f t="shared" si="48"/>
        <v>0</v>
      </c>
      <c r="U178" s="213">
        <f t="shared" si="48"/>
        <v>0</v>
      </c>
      <c r="V178" s="213">
        <f t="shared" si="48"/>
        <v>0</v>
      </c>
      <c r="W178" s="213">
        <f t="shared" si="48"/>
        <v>0</v>
      </c>
      <c r="X178" s="213">
        <f t="shared" si="48"/>
        <v>0</v>
      </c>
      <c r="Y178" s="213">
        <f t="shared" si="48"/>
        <v>0</v>
      </c>
      <c r="Z178" s="213">
        <f t="shared" si="49"/>
        <v>0</v>
      </c>
    </row>
    <row r="179" spans="1:26" hidden="1" x14ac:dyDescent="0.2">
      <c r="A179" s="3">
        <f t="shared" si="50"/>
        <v>4</v>
      </c>
      <c r="B179" s="213">
        <f t="shared" si="48"/>
        <v>0</v>
      </c>
      <c r="C179" s="213">
        <f t="shared" si="48"/>
        <v>0</v>
      </c>
      <c r="D179" s="213">
        <f t="shared" si="48"/>
        <v>0</v>
      </c>
      <c r="E179" s="213">
        <f t="shared" si="48"/>
        <v>0</v>
      </c>
      <c r="F179" s="213">
        <f t="shared" si="48"/>
        <v>0</v>
      </c>
      <c r="G179" s="213">
        <f t="shared" si="48"/>
        <v>0</v>
      </c>
      <c r="H179" s="213">
        <f t="shared" si="48"/>
        <v>0</v>
      </c>
      <c r="I179" s="213">
        <f t="shared" si="48"/>
        <v>0</v>
      </c>
      <c r="J179" s="213">
        <f t="shared" si="48"/>
        <v>0</v>
      </c>
      <c r="K179" s="213">
        <f t="shared" si="48"/>
        <v>0</v>
      </c>
      <c r="L179" s="213">
        <f t="shared" si="48"/>
        <v>0</v>
      </c>
      <c r="M179" s="213">
        <f t="shared" si="48"/>
        <v>0</v>
      </c>
      <c r="N179" s="213">
        <f t="shared" si="48"/>
        <v>0</v>
      </c>
      <c r="O179" s="213">
        <f t="shared" si="48"/>
        <v>0</v>
      </c>
      <c r="P179" s="213">
        <f t="shared" si="48"/>
        <v>0</v>
      </c>
      <c r="Q179" s="213">
        <f t="shared" si="48"/>
        <v>0</v>
      </c>
      <c r="R179" s="213">
        <f t="shared" si="48"/>
        <v>0</v>
      </c>
      <c r="S179" s="213">
        <f t="shared" si="48"/>
        <v>0</v>
      </c>
      <c r="T179" s="213">
        <f t="shared" si="48"/>
        <v>0</v>
      </c>
      <c r="U179" s="213">
        <f t="shared" si="48"/>
        <v>0</v>
      </c>
      <c r="V179" s="213">
        <f t="shared" si="48"/>
        <v>0</v>
      </c>
      <c r="W179" s="213">
        <f t="shared" si="48"/>
        <v>0</v>
      </c>
      <c r="X179" s="213">
        <f t="shared" si="48"/>
        <v>0</v>
      </c>
      <c r="Y179" s="213">
        <f t="shared" si="48"/>
        <v>0</v>
      </c>
      <c r="Z179" s="213">
        <f t="shared" si="49"/>
        <v>0</v>
      </c>
    </row>
    <row r="180" spans="1:26" hidden="1" x14ac:dyDescent="0.2">
      <c r="A180" s="3">
        <f t="shared" si="50"/>
        <v>5</v>
      </c>
      <c r="B180" s="213">
        <f t="shared" si="48"/>
        <v>0</v>
      </c>
      <c r="C180" s="213">
        <f t="shared" si="48"/>
        <v>0</v>
      </c>
      <c r="D180" s="213">
        <f t="shared" si="48"/>
        <v>0</v>
      </c>
      <c r="E180" s="213">
        <f t="shared" si="48"/>
        <v>0</v>
      </c>
      <c r="F180" s="213">
        <f t="shared" si="48"/>
        <v>0</v>
      </c>
      <c r="G180" s="213">
        <f t="shared" si="48"/>
        <v>0</v>
      </c>
      <c r="H180" s="213">
        <f t="shared" si="48"/>
        <v>0</v>
      </c>
      <c r="I180" s="213">
        <f t="shared" si="48"/>
        <v>0</v>
      </c>
      <c r="J180" s="213">
        <f t="shared" si="48"/>
        <v>0</v>
      </c>
      <c r="K180" s="213">
        <f t="shared" si="48"/>
        <v>0</v>
      </c>
      <c r="L180" s="213">
        <f t="shared" si="48"/>
        <v>0</v>
      </c>
      <c r="M180" s="213">
        <f t="shared" si="48"/>
        <v>0</v>
      </c>
      <c r="N180" s="213">
        <f t="shared" si="48"/>
        <v>0</v>
      </c>
      <c r="O180" s="213">
        <f t="shared" si="48"/>
        <v>0</v>
      </c>
      <c r="P180" s="213">
        <f t="shared" si="48"/>
        <v>0</v>
      </c>
      <c r="Q180" s="213">
        <f t="shared" si="48"/>
        <v>0</v>
      </c>
      <c r="R180" s="213">
        <f t="shared" si="48"/>
        <v>0</v>
      </c>
      <c r="S180" s="213">
        <f t="shared" si="48"/>
        <v>0</v>
      </c>
      <c r="T180" s="213">
        <f t="shared" si="48"/>
        <v>0</v>
      </c>
      <c r="U180" s="213">
        <f t="shared" si="48"/>
        <v>0</v>
      </c>
      <c r="V180" s="213">
        <f t="shared" si="48"/>
        <v>0</v>
      </c>
      <c r="W180" s="213">
        <f t="shared" si="48"/>
        <v>0</v>
      </c>
      <c r="X180" s="213">
        <f t="shared" si="48"/>
        <v>0</v>
      </c>
      <c r="Y180" s="213">
        <f t="shared" si="48"/>
        <v>0</v>
      </c>
      <c r="Z180" s="213">
        <f t="shared" si="49"/>
        <v>0</v>
      </c>
    </row>
    <row r="181" spans="1:26" hidden="1" x14ac:dyDescent="0.2">
      <c r="A181" s="3">
        <f t="shared" si="50"/>
        <v>6</v>
      </c>
      <c r="B181" s="213">
        <f t="shared" si="48"/>
        <v>0</v>
      </c>
      <c r="C181" s="213">
        <f t="shared" si="48"/>
        <v>0</v>
      </c>
      <c r="D181" s="213">
        <f t="shared" si="48"/>
        <v>0</v>
      </c>
      <c r="E181" s="213">
        <f t="shared" si="48"/>
        <v>0</v>
      </c>
      <c r="F181" s="213">
        <f t="shared" si="48"/>
        <v>0</v>
      </c>
      <c r="G181" s="213">
        <f t="shared" si="48"/>
        <v>0</v>
      </c>
      <c r="H181" s="213">
        <f t="shared" si="48"/>
        <v>0</v>
      </c>
      <c r="I181" s="213">
        <f t="shared" si="48"/>
        <v>0</v>
      </c>
      <c r="J181" s="213">
        <f t="shared" si="48"/>
        <v>0</v>
      </c>
      <c r="K181" s="213">
        <f t="shared" si="48"/>
        <v>0</v>
      </c>
      <c r="L181" s="213">
        <f t="shared" si="48"/>
        <v>0</v>
      </c>
      <c r="M181" s="213">
        <f t="shared" si="48"/>
        <v>0</v>
      </c>
      <c r="N181" s="213">
        <f t="shared" si="48"/>
        <v>0</v>
      </c>
      <c r="O181" s="213">
        <f t="shared" si="48"/>
        <v>0</v>
      </c>
      <c r="P181" s="213">
        <f t="shared" si="48"/>
        <v>0</v>
      </c>
      <c r="Q181" s="213">
        <f t="shared" si="48"/>
        <v>0</v>
      </c>
      <c r="R181" s="213">
        <f t="shared" si="48"/>
        <v>0</v>
      </c>
      <c r="S181" s="213">
        <f t="shared" si="48"/>
        <v>0</v>
      </c>
      <c r="T181" s="213">
        <f t="shared" si="48"/>
        <v>0</v>
      </c>
      <c r="U181" s="213">
        <f t="shared" si="48"/>
        <v>0</v>
      </c>
      <c r="V181" s="213">
        <f t="shared" si="48"/>
        <v>0</v>
      </c>
      <c r="W181" s="213">
        <f t="shared" si="48"/>
        <v>0</v>
      </c>
      <c r="X181" s="213">
        <f t="shared" si="48"/>
        <v>0</v>
      </c>
      <c r="Y181" s="213">
        <f t="shared" si="48"/>
        <v>0</v>
      </c>
      <c r="Z181" s="213">
        <f t="shared" si="49"/>
        <v>0</v>
      </c>
    </row>
    <row r="182" spans="1:26" hidden="1" x14ac:dyDescent="0.2">
      <c r="A182" s="3">
        <f t="shared" si="50"/>
        <v>7</v>
      </c>
      <c r="B182" s="213">
        <f t="shared" si="48"/>
        <v>0</v>
      </c>
      <c r="C182" s="213">
        <f t="shared" si="48"/>
        <v>0</v>
      </c>
      <c r="D182" s="213">
        <f t="shared" si="48"/>
        <v>0</v>
      </c>
      <c r="E182" s="213">
        <f t="shared" si="48"/>
        <v>0</v>
      </c>
      <c r="F182" s="213">
        <f t="shared" si="48"/>
        <v>0</v>
      </c>
      <c r="G182" s="213">
        <f t="shared" si="48"/>
        <v>0</v>
      </c>
      <c r="H182" s="213">
        <f t="shared" si="48"/>
        <v>0</v>
      </c>
      <c r="I182" s="213">
        <f t="shared" si="48"/>
        <v>0</v>
      </c>
      <c r="J182" s="213">
        <f t="shared" si="48"/>
        <v>0</v>
      </c>
      <c r="K182" s="213">
        <f t="shared" si="48"/>
        <v>0</v>
      </c>
      <c r="L182" s="213">
        <f t="shared" si="48"/>
        <v>0</v>
      </c>
      <c r="M182" s="213">
        <f t="shared" si="48"/>
        <v>0</v>
      </c>
      <c r="N182" s="213">
        <f t="shared" si="48"/>
        <v>0</v>
      </c>
      <c r="O182" s="213">
        <f t="shared" si="48"/>
        <v>0</v>
      </c>
      <c r="P182" s="213">
        <f t="shared" si="48"/>
        <v>0</v>
      </c>
      <c r="Q182" s="213">
        <f t="shared" si="48"/>
        <v>0</v>
      </c>
      <c r="R182" s="213">
        <f t="shared" si="48"/>
        <v>0</v>
      </c>
      <c r="S182" s="213">
        <f t="shared" si="48"/>
        <v>0</v>
      </c>
      <c r="T182" s="213">
        <f t="shared" si="48"/>
        <v>0</v>
      </c>
      <c r="U182" s="213">
        <f t="shared" si="48"/>
        <v>0</v>
      </c>
      <c r="V182" s="213">
        <f t="shared" si="48"/>
        <v>0</v>
      </c>
      <c r="W182" s="213">
        <f t="shared" si="48"/>
        <v>0</v>
      </c>
      <c r="X182" s="213">
        <f t="shared" si="48"/>
        <v>0</v>
      </c>
      <c r="Y182" s="213">
        <f t="shared" si="48"/>
        <v>0</v>
      </c>
      <c r="Z182" s="213">
        <f t="shared" si="49"/>
        <v>0</v>
      </c>
    </row>
    <row r="183" spans="1:26" hidden="1" x14ac:dyDescent="0.2">
      <c r="A183" s="3">
        <f t="shared" si="50"/>
        <v>8</v>
      </c>
      <c r="B183" s="213">
        <f t="shared" si="48"/>
        <v>0</v>
      </c>
      <c r="C183" s="213">
        <f t="shared" si="48"/>
        <v>0</v>
      </c>
      <c r="D183" s="213">
        <f t="shared" si="48"/>
        <v>0</v>
      </c>
      <c r="E183" s="213">
        <f t="shared" si="48"/>
        <v>0</v>
      </c>
      <c r="F183" s="213">
        <f t="shared" si="48"/>
        <v>0</v>
      </c>
      <c r="G183" s="213">
        <f t="shared" si="48"/>
        <v>0</v>
      </c>
      <c r="H183" s="213">
        <f t="shared" si="48"/>
        <v>0</v>
      </c>
      <c r="I183" s="213">
        <f t="shared" si="48"/>
        <v>0</v>
      </c>
      <c r="J183" s="213">
        <f t="shared" si="48"/>
        <v>0</v>
      </c>
      <c r="K183" s="213">
        <f t="shared" si="48"/>
        <v>0</v>
      </c>
      <c r="L183" s="213">
        <f t="shared" si="48"/>
        <v>0</v>
      </c>
      <c r="M183" s="213">
        <f t="shared" si="48"/>
        <v>0</v>
      </c>
      <c r="N183" s="213">
        <f t="shared" si="48"/>
        <v>0</v>
      </c>
      <c r="O183" s="213">
        <f t="shared" si="48"/>
        <v>0</v>
      </c>
      <c r="P183" s="213">
        <f t="shared" si="48"/>
        <v>0</v>
      </c>
      <c r="Q183" s="213">
        <f t="shared" si="48"/>
        <v>0</v>
      </c>
      <c r="R183" s="213">
        <f t="shared" si="48"/>
        <v>0</v>
      </c>
      <c r="S183" s="213">
        <f t="shared" si="48"/>
        <v>0</v>
      </c>
      <c r="T183" s="213">
        <f t="shared" si="48"/>
        <v>0</v>
      </c>
      <c r="U183" s="213">
        <f t="shared" si="48"/>
        <v>0</v>
      </c>
      <c r="V183" s="213">
        <f t="shared" si="48"/>
        <v>0</v>
      </c>
      <c r="W183" s="213">
        <f t="shared" si="48"/>
        <v>0</v>
      </c>
      <c r="X183" s="213">
        <f t="shared" si="48"/>
        <v>0</v>
      </c>
      <c r="Y183" s="213">
        <f t="shared" si="48"/>
        <v>0</v>
      </c>
      <c r="Z183" s="213">
        <f t="shared" si="49"/>
        <v>0</v>
      </c>
    </row>
    <row r="184" spans="1:26" hidden="1" x14ac:dyDescent="0.2">
      <c r="A184" s="3">
        <f t="shared" si="50"/>
        <v>9</v>
      </c>
      <c r="B184" s="213">
        <f t="shared" si="48"/>
        <v>0</v>
      </c>
      <c r="C184" s="213">
        <f t="shared" si="48"/>
        <v>0</v>
      </c>
      <c r="D184" s="213">
        <f t="shared" si="48"/>
        <v>0</v>
      </c>
      <c r="E184" s="213">
        <f t="shared" si="48"/>
        <v>0</v>
      </c>
      <c r="F184" s="213">
        <f t="shared" si="48"/>
        <v>0</v>
      </c>
      <c r="G184" s="213">
        <f t="shared" si="48"/>
        <v>0</v>
      </c>
      <c r="H184" s="213">
        <f t="shared" si="48"/>
        <v>0</v>
      </c>
      <c r="I184" s="213">
        <f t="shared" si="48"/>
        <v>0</v>
      </c>
      <c r="J184" s="213">
        <f t="shared" si="48"/>
        <v>0</v>
      </c>
      <c r="K184" s="213">
        <f t="shared" si="48"/>
        <v>0</v>
      </c>
      <c r="L184" s="213">
        <f t="shared" si="48"/>
        <v>0</v>
      </c>
      <c r="M184" s="213">
        <f t="shared" si="48"/>
        <v>0</v>
      </c>
      <c r="N184" s="213">
        <f t="shared" si="48"/>
        <v>0</v>
      </c>
      <c r="O184" s="213">
        <f t="shared" si="48"/>
        <v>0</v>
      </c>
      <c r="P184" s="213">
        <f t="shared" si="48"/>
        <v>0</v>
      </c>
      <c r="Q184" s="213">
        <f t="shared" si="48"/>
        <v>0</v>
      </c>
      <c r="R184" s="213">
        <f t="shared" si="48"/>
        <v>0</v>
      </c>
      <c r="S184" s="213">
        <f t="shared" si="48"/>
        <v>0</v>
      </c>
      <c r="T184" s="213">
        <f t="shared" si="48"/>
        <v>0</v>
      </c>
      <c r="U184" s="213">
        <f t="shared" si="48"/>
        <v>0</v>
      </c>
      <c r="V184" s="213">
        <f t="shared" si="48"/>
        <v>0</v>
      </c>
      <c r="W184" s="213">
        <f t="shared" si="48"/>
        <v>0</v>
      </c>
      <c r="X184" s="213">
        <f t="shared" si="48"/>
        <v>0</v>
      </c>
      <c r="Y184" s="213">
        <f t="shared" si="48"/>
        <v>0</v>
      </c>
      <c r="Z184" s="213">
        <f t="shared" si="49"/>
        <v>0</v>
      </c>
    </row>
    <row r="185" spans="1:26" hidden="1" x14ac:dyDescent="0.2">
      <c r="A185" s="3">
        <f t="shared" si="50"/>
        <v>10</v>
      </c>
      <c r="B185" s="213">
        <f t="shared" si="48"/>
        <v>0</v>
      </c>
      <c r="C185" s="213">
        <f t="shared" si="48"/>
        <v>0</v>
      </c>
      <c r="D185" s="213">
        <f t="shared" si="48"/>
        <v>0</v>
      </c>
      <c r="E185" s="213">
        <f t="shared" si="48"/>
        <v>0</v>
      </c>
      <c r="F185" s="213">
        <f t="shared" si="48"/>
        <v>0</v>
      </c>
      <c r="G185" s="213">
        <f t="shared" si="48"/>
        <v>0</v>
      </c>
      <c r="H185" s="213">
        <f t="shared" si="48"/>
        <v>0</v>
      </c>
      <c r="I185" s="213">
        <f t="shared" si="48"/>
        <v>0</v>
      </c>
      <c r="J185" s="213">
        <f t="shared" si="48"/>
        <v>0</v>
      </c>
      <c r="K185" s="213">
        <f t="shared" si="48"/>
        <v>0</v>
      </c>
      <c r="L185" s="213">
        <f t="shared" si="48"/>
        <v>0</v>
      </c>
      <c r="M185" s="213">
        <f t="shared" si="48"/>
        <v>0</v>
      </c>
      <c r="N185" s="213">
        <f t="shared" si="48"/>
        <v>0</v>
      </c>
      <c r="O185" s="213">
        <f t="shared" si="48"/>
        <v>0</v>
      </c>
      <c r="P185" s="213">
        <f t="shared" si="48"/>
        <v>0</v>
      </c>
      <c r="Q185" s="213">
        <f t="shared" si="48"/>
        <v>0</v>
      </c>
      <c r="R185" s="213">
        <f t="shared" si="48"/>
        <v>0</v>
      </c>
      <c r="S185" s="213">
        <f t="shared" si="48"/>
        <v>0</v>
      </c>
      <c r="T185" s="213">
        <f t="shared" si="48"/>
        <v>0</v>
      </c>
      <c r="U185" s="213">
        <f t="shared" si="48"/>
        <v>0</v>
      </c>
      <c r="V185" s="213">
        <f t="shared" si="48"/>
        <v>0</v>
      </c>
      <c r="W185" s="213">
        <f t="shared" si="48"/>
        <v>0</v>
      </c>
      <c r="X185" s="213">
        <f t="shared" si="48"/>
        <v>0</v>
      </c>
      <c r="Y185" s="213">
        <f t="shared" si="48"/>
        <v>0</v>
      </c>
      <c r="Z185" s="213">
        <f t="shared" si="49"/>
        <v>0</v>
      </c>
    </row>
    <row r="186" spans="1:26" hidden="1" x14ac:dyDescent="0.2">
      <c r="A186" s="3">
        <f t="shared" si="50"/>
        <v>11</v>
      </c>
      <c r="B186" s="213">
        <f t="shared" si="48"/>
        <v>0</v>
      </c>
      <c r="C186" s="213">
        <f t="shared" si="48"/>
        <v>0</v>
      </c>
      <c r="D186" s="213">
        <f t="shared" si="48"/>
        <v>0</v>
      </c>
      <c r="E186" s="213">
        <f t="shared" si="48"/>
        <v>0</v>
      </c>
      <c r="F186" s="213">
        <f t="shared" si="48"/>
        <v>0</v>
      </c>
      <c r="G186" s="213">
        <f t="shared" si="48"/>
        <v>0</v>
      </c>
      <c r="H186" s="213">
        <f t="shared" si="48"/>
        <v>0</v>
      </c>
      <c r="I186" s="213">
        <f t="shared" si="48"/>
        <v>0</v>
      </c>
      <c r="J186" s="213">
        <f t="shared" si="48"/>
        <v>0</v>
      </c>
      <c r="K186" s="213">
        <f t="shared" si="48"/>
        <v>0</v>
      </c>
      <c r="L186" s="213">
        <f t="shared" si="48"/>
        <v>0</v>
      </c>
      <c r="M186" s="213">
        <f t="shared" si="48"/>
        <v>0</v>
      </c>
      <c r="N186" s="213">
        <f t="shared" si="48"/>
        <v>0</v>
      </c>
      <c r="O186" s="213">
        <f t="shared" si="48"/>
        <v>0</v>
      </c>
      <c r="P186" s="213">
        <f t="shared" si="48"/>
        <v>0</v>
      </c>
      <c r="Q186" s="213">
        <f t="shared" si="48"/>
        <v>0</v>
      </c>
      <c r="R186" s="213">
        <f t="shared" si="48"/>
        <v>0</v>
      </c>
      <c r="S186" s="213">
        <f t="shared" si="48"/>
        <v>0</v>
      </c>
      <c r="T186" s="213">
        <f t="shared" si="48"/>
        <v>0</v>
      </c>
      <c r="U186" s="213">
        <f t="shared" si="48"/>
        <v>0</v>
      </c>
      <c r="V186" s="213">
        <f t="shared" si="48"/>
        <v>0</v>
      </c>
      <c r="W186" s="213">
        <f t="shared" si="48"/>
        <v>0</v>
      </c>
      <c r="X186" s="213">
        <f t="shared" si="48"/>
        <v>0</v>
      </c>
      <c r="Y186" s="213">
        <f t="shared" si="48"/>
        <v>0</v>
      </c>
      <c r="Z186" s="213">
        <f t="shared" si="49"/>
        <v>0</v>
      </c>
    </row>
    <row r="187" spans="1:26" hidden="1" x14ac:dyDescent="0.2">
      <c r="A187" s="3">
        <f t="shared" si="50"/>
        <v>12</v>
      </c>
      <c r="B187" s="213">
        <f t="shared" si="48"/>
        <v>0</v>
      </c>
      <c r="C187" s="213">
        <f t="shared" si="48"/>
        <v>0</v>
      </c>
      <c r="D187" s="213">
        <f t="shared" si="48"/>
        <v>0</v>
      </c>
      <c r="E187" s="213">
        <f t="shared" si="48"/>
        <v>0</v>
      </c>
      <c r="F187" s="213">
        <f t="shared" si="48"/>
        <v>0</v>
      </c>
      <c r="G187" s="213">
        <f t="shared" si="48"/>
        <v>0</v>
      </c>
      <c r="H187" s="213">
        <f t="shared" si="48"/>
        <v>0</v>
      </c>
      <c r="I187" s="213">
        <f t="shared" si="48"/>
        <v>0</v>
      </c>
      <c r="J187" s="213">
        <f t="shared" si="48"/>
        <v>0</v>
      </c>
      <c r="K187" s="213">
        <f t="shared" si="48"/>
        <v>0</v>
      </c>
      <c r="L187" s="213">
        <f t="shared" si="48"/>
        <v>0</v>
      </c>
      <c r="M187" s="213">
        <f t="shared" si="48"/>
        <v>0</v>
      </c>
      <c r="N187" s="213">
        <f t="shared" si="48"/>
        <v>0</v>
      </c>
      <c r="O187" s="213">
        <f t="shared" si="48"/>
        <v>0</v>
      </c>
      <c r="P187" s="213">
        <f t="shared" si="48"/>
        <v>0</v>
      </c>
      <c r="Q187" s="213">
        <f t="shared" ref="Q187:Y187" si="51">Q158-Q172</f>
        <v>0</v>
      </c>
      <c r="R187" s="213">
        <f t="shared" si="51"/>
        <v>0</v>
      </c>
      <c r="S187" s="213">
        <f t="shared" si="51"/>
        <v>0</v>
      </c>
      <c r="T187" s="213">
        <f t="shared" si="51"/>
        <v>0</v>
      </c>
      <c r="U187" s="213">
        <f t="shared" si="51"/>
        <v>0</v>
      </c>
      <c r="V187" s="213">
        <f t="shared" si="51"/>
        <v>0</v>
      </c>
      <c r="W187" s="213">
        <f t="shared" si="51"/>
        <v>0</v>
      </c>
      <c r="X187" s="213">
        <f t="shared" si="51"/>
        <v>0</v>
      </c>
      <c r="Y187" s="213">
        <f t="shared" si="51"/>
        <v>0</v>
      </c>
      <c r="Z187" s="213">
        <f t="shared" si="49"/>
        <v>0</v>
      </c>
    </row>
    <row r="188" spans="1:26" hidden="1" x14ac:dyDescent="0.2"/>
    <row r="189" spans="1:26" hidden="1" x14ac:dyDescent="0.2"/>
    <row r="190" spans="1:26" hidden="1" x14ac:dyDescent="0.2">
      <c r="A190" s="3" t="s">
        <v>219</v>
      </c>
    </row>
    <row r="191" spans="1:26" hidden="1" x14ac:dyDescent="0.2">
      <c r="A191" s="3">
        <v>1</v>
      </c>
      <c r="B191" s="213">
        <f t="shared" ref="B191:B202" si="52">M130-Z161</f>
        <v>0</v>
      </c>
    </row>
    <row r="192" spans="1:26" hidden="1" x14ac:dyDescent="0.2">
      <c r="A192" s="3">
        <f>A191+1</f>
        <v>2</v>
      </c>
      <c r="B192" s="213">
        <f t="shared" si="52"/>
        <v>0</v>
      </c>
    </row>
    <row r="193" spans="1:26" hidden="1" x14ac:dyDescent="0.2">
      <c r="A193" s="3">
        <f t="shared" ref="A193:A202" si="53">A192+1</f>
        <v>3</v>
      </c>
      <c r="B193" s="213">
        <f t="shared" si="52"/>
        <v>0</v>
      </c>
    </row>
    <row r="194" spans="1:26" hidden="1" x14ac:dyDescent="0.2">
      <c r="A194" s="3">
        <f t="shared" si="53"/>
        <v>4</v>
      </c>
      <c r="B194" s="213">
        <f t="shared" si="52"/>
        <v>0</v>
      </c>
    </row>
    <row r="195" spans="1:26" hidden="1" x14ac:dyDescent="0.2">
      <c r="A195" s="3">
        <f t="shared" si="53"/>
        <v>5</v>
      </c>
      <c r="B195" s="213">
        <f t="shared" si="52"/>
        <v>0</v>
      </c>
    </row>
    <row r="196" spans="1:26" hidden="1" x14ac:dyDescent="0.2">
      <c r="A196" s="3">
        <f t="shared" si="53"/>
        <v>6</v>
      </c>
      <c r="B196" s="213">
        <f t="shared" si="52"/>
        <v>0</v>
      </c>
    </row>
    <row r="197" spans="1:26" hidden="1" x14ac:dyDescent="0.2">
      <c r="A197" s="3">
        <f t="shared" si="53"/>
        <v>7</v>
      </c>
      <c r="B197" s="213">
        <f t="shared" si="52"/>
        <v>0</v>
      </c>
    </row>
    <row r="198" spans="1:26" hidden="1" x14ac:dyDescent="0.2">
      <c r="A198" s="3">
        <f t="shared" si="53"/>
        <v>8</v>
      </c>
      <c r="B198" s="213">
        <f t="shared" si="52"/>
        <v>0</v>
      </c>
    </row>
    <row r="199" spans="1:26" hidden="1" x14ac:dyDescent="0.2">
      <c r="A199" s="3">
        <f t="shared" si="53"/>
        <v>9</v>
      </c>
      <c r="B199" s="213">
        <f t="shared" si="52"/>
        <v>0</v>
      </c>
    </row>
    <row r="200" spans="1:26" hidden="1" x14ac:dyDescent="0.2">
      <c r="A200" s="3">
        <f t="shared" si="53"/>
        <v>10</v>
      </c>
      <c r="B200" s="213">
        <f t="shared" si="52"/>
        <v>0</v>
      </c>
    </row>
    <row r="201" spans="1:26" hidden="1" x14ac:dyDescent="0.2">
      <c r="A201" s="3">
        <f t="shared" si="53"/>
        <v>11</v>
      </c>
      <c r="B201" s="213">
        <f t="shared" si="52"/>
        <v>0</v>
      </c>
    </row>
    <row r="202" spans="1:26" hidden="1" x14ac:dyDescent="0.2">
      <c r="A202" s="3">
        <f t="shared" si="53"/>
        <v>12</v>
      </c>
      <c r="B202" s="213">
        <f t="shared" si="52"/>
        <v>0</v>
      </c>
    </row>
    <row r="203" spans="1:26" hidden="1" x14ac:dyDescent="0.2"/>
    <row r="204" spans="1:26" hidden="1" x14ac:dyDescent="0.2"/>
    <row r="205" spans="1:26" hidden="1" x14ac:dyDescent="0.2">
      <c r="A205" s="3" t="s">
        <v>220</v>
      </c>
      <c r="B205" s="3" t="str">
        <f>B143</f>
        <v>TT Loan 1</v>
      </c>
      <c r="C205" s="3" t="str">
        <f t="shared" ref="C205:Y205" si="54">C143</f>
        <v>TT Loan 2</v>
      </c>
      <c r="D205" s="3" t="str">
        <f t="shared" si="54"/>
        <v>TT Loan 3</v>
      </c>
      <c r="E205" s="3" t="str">
        <f t="shared" si="54"/>
        <v>TT Loan 4</v>
      </c>
      <c r="F205" s="3" t="str">
        <f t="shared" si="54"/>
        <v>Existing ID 1</v>
      </c>
      <c r="G205" s="3" t="str">
        <f t="shared" si="54"/>
        <v>Existing ID 2</v>
      </c>
      <c r="H205" s="3" t="str">
        <f t="shared" si="54"/>
        <v>Existing ID 3</v>
      </c>
      <c r="I205" s="3" t="str">
        <f t="shared" si="54"/>
        <v>Existing ID 4</v>
      </c>
      <c r="J205" s="3" t="str">
        <f t="shared" si="54"/>
        <v>Existing ID 5</v>
      </c>
      <c r="K205" s="3" t="str">
        <f t="shared" si="54"/>
        <v>Existing ID 6</v>
      </c>
      <c r="L205" s="3" t="str">
        <f t="shared" si="54"/>
        <v>Existing ID 7</v>
      </c>
      <c r="M205" s="3" t="str">
        <f t="shared" si="54"/>
        <v>Existing ID 8</v>
      </c>
      <c r="N205" s="3" t="str">
        <f t="shared" si="54"/>
        <v>Existing ID 9</v>
      </c>
      <c r="O205" s="3" t="str">
        <f t="shared" si="54"/>
        <v>Existing ID 10</v>
      </c>
      <c r="P205" s="3" t="str">
        <f t="shared" si="54"/>
        <v>Existing ID 11</v>
      </c>
      <c r="Q205" s="3" t="str">
        <f t="shared" si="54"/>
        <v>Existing ID 12</v>
      </c>
      <c r="R205" s="3" t="str">
        <f t="shared" si="54"/>
        <v>Existing ID 13</v>
      </c>
      <c r="S205" s="3" t="str">
        <f t="shared" si="54"/>
        <v>Existing ID 14</v>
      </c>
      <c r="T205" s="3" t="str">
        <f t="shared" si="54"/>
        <v>Existing ID 15</v>
      </c>
      <c r="U205" s="3" t="str">
        <f t="shared" si="54"/>
        <v>Existing ID 16</v>
      </c>
      <c r="V205" s="3" t="str">
        <f t="shared" si="54"/>
        <v>Existing ID 17</v>
      </c>
      <c r="W205" s="3" t="str">
        <f t="shared" si="54"/>
        <v>Existing ID 18</v>
      </c>
      <c r="X205" s="3" t="str">
        <f t="shared" si="54"/>
        <v>Existing ID 19</v>
      </c>
      <c r="Y205" s="3" t="str">
        <f t="shared" si="54"/>
        <v>Existing ID 20</v>
      </c>
    </row>
    <row r="206" spans="1:26" hidden="1" x14ac:dyDescent="0.2">
      <c r="A206" s="3">
        <v>1</v>
      </c>
      <c r="B206" s="257">
        <f>B161+MIN(B147-B161,IF($Z176=0,0,$B191*B176/$Z176))</f>
        <v>0</v>
      </c>
      <c r="C206" s="257">
        <f t="shared" ref="C206:Y217" si="55">C161+MIN(C147-C161,IF($Z176=0,0,$B191*C176/$Z176))</f>
        <v>0</v>
      </c>
      <c r="D206" s="257">
        <f t="shared" si="55"/>
        <v>0</v>
      </c>
      <c r="E206" s="257">
        <f t="shared" si="55"/>
        <v>0</v>
      </c>
      <c r="F206" s="257">
        <f t="shared" si="55"/>
        <v>0</v>
      </c>
      <c r="G206" s="257">
        <f t="shared" si="55"/>
        <v>0</v>
      </c>
      <c r="H206" s="257">
        <f t="shared" si="55"/>
        <v>0</v>
      </c>
      <c r="I206" s="257">
        <f t="shared" si="55"/>
        <v>0</v>
      </c>
      <c r="J206" s="257">
        <f t="shared" si="55"/>
        <v>0</v>
      </c>
      <c r="K206" s="257">
        <f t="shared" si="55"/>
        <v>0</v>
      </c>
      <c r="L206" s="257">
        <f t="shared" si="55"/>
        <v>0</v>
      </c>
      <c r="M206" s="257">
        <f t="shared" si="55"/>
        <v>0</v>
      </c>
      <c r="N206" s="257">
        <f t="shared" si="55"/>
        <v>0</v>
      </c>
      <c r="O206" s="257">
        <f t="shared" si="55"/>
        <v>0</v>
      </c>
      <c r="P206" s="257">
        <f t="shared" si="55"/>
        <v>0</v>
      </c>
      <c r="Q206" s="257">
        <f t="shared" si="55"/>
        <v>0</v>
      </c>
      <c r="R206" s="257">
        <f t="shared" si="55"/>
        <v>0</v>
      </c>
      <c r="S206" s="257">
        <f t="shared" si="55"/>
        <v>0</v>
      </c>
      <c r="T206" s="257">
        <f t="shared" si="55"/>
        <v>0</v>
      </c>
      <c r="U206" s="257">
        <f t="shared" si="55"/>
        <v>0</v>
      </c>
      <c r="V206" s="257">
        <f t="shared" si="55"/>
        <v>0</v>
      </c>
      <c r="W206" s="257">
        <f t="shared" si="55"/>
        <v>0</v>
      </c>
      <c r="X206" s="257">
        <f t="shared" si="55"/>
        <v>0</v>
      </c>
      <c r="Y206" s="257">
        <f t="shared" si="55"/>
        <v>0</v>
      </c>
      <c r="Z206" s="213">
        <f>SUM(B206:Y206)</f>
        <v>0</v>
      </c>
    </row>
    <row r="207" spans="1:26" hidden="1" x14ac:dyDescent="0.2">
      <c r="A207" s="3">
        <f>A206+1</f>
        <v>2</v>
      </c>
      <c r="B207" s="257">
        <f t="shared" ref="B207:G217" si="56">B162+MIN(B148-B162,IF($Z177=0,0,$B192*B177/$Z177))</f>
        <v>0</v>
      </c>
      <c r="C207" s="257">
        <f t="shared" si="56"/>
        <v>0</v>
      </c>
      <c r="D207" s="257">
        <f t="shared" si="56"/>
        <v>0</v>
      </c>
      <c r="E207" s="257">
        <f t="shared" si="56"/>
        <v>0</v>
      </c>
      <c r="F207" s="257">
        <f t="shared" si="56"/>
        <v>0</v>
      </c>
      <c r="G207" s="257">
        <f t="shared" si="56"/>
        <v>0</v>
      </c>
      <c r="H207" s="257">
        <f t="shared" si="55"/>
        <v>0</v>
      </c>
      <c r="I207" s="257">
        <f t="shared" si="55"/>
        <v>0</v>
      </c>
      <c r="J207" s="257">
        <f t="shared" si="55"/>
        <v>0</v>
      </c>
      <c r="K207" s="257">
        <f t="shared" si="55"/>
        <v>0</v>
      </c>
      <c r="L207" s="257">
        <f t="shared" si="55"/>
        <v>0</v>
      </c>
      <c r="M207" s="257">
        <f t="shared" si="55"/>
        <v>0</v>
      </c>
      <c r="N207" s="257">
        <f t="shared" si="55"/>
        <v>0</v>
      </c>
      <c r="O207" s="257">
        <f t="shared" si="55"/>
        <v>0</v>
      </c>
      <c r="P207" s="257">
        <f t="shared" si="55"/>
        <v>0</v>
      </c>
      <c r="Q207" s="257">
        <f t="shared" si="55"/>
        <v>0</v>
      </c>
      <c r="R207" s="257">
        <f t="shared" si="55"/>
        <v>0</v>
      </c>
      <c r="S207" s="257">
        <f t="shared" si="55"/>
        <v>0</v>
      </c>
      <c r="T207" s="257">
        <f t="shared" si="55"/>
        <v>0</v>
      </c>
      <c r="U207" s="257">
        <f t="shared" si="55"/>
        <v>0</v>
      </c>
      <c r="V207" s="257">
        <f t="shared" si="55"/>
        <v>0</v>
      </c>
      <c r="W207" s="257">
        <f t="shared" si="55"/>
        <v>0</v>
      </c>
      <c r="X207" s="257">
        <f t="shared" si="55"/>
        <v>0</v>
      </c>
      <c r="Y207" s="257">
        <f t="shared" si="55"/>
        <v>0</v>
      </c>
      <c r="Z207" s="213">
        <f t="shared" ref="Z207:Z217" si="57">SUM(B207:Y207)</f>
        <v>0</v>
      </c>
    </row>
    <row r="208" spans="1:26" hidden="1" x14ac:dyDescent="0.2">
      <c r="A208" s="3">
        <f t="shared" ref="A208:A217" si="58">A207+1</f>
        <v>3</v>
      </c>
      <c r="B208" s="257">
        <f t="shared" si="56"/>
        <v>0</v>
      </c>
      <c r="C208" s="257">
        <f t="shared" si="56"/>
        <v>0</v>
      </c>
      <c r="D208" s="257">
        <f t="shared" si="56"/>
        <v>0</v>
      </c>
      <c r="E208" s="257">
        <f t="shared" si="56"/>
        <v>0</v>
      </c>
      <c r="F208" s="257">
        <f t="shared" si="56"/>
        <v>0</v>
      </c>
      <c r="G208" s="257">
        <f t="shared" si="56"/>
        <v>0</v>
      </c>
      <c r="H208" s="257">
        <f t="shared" si="55"/>
        <v>0</v>
      </c>
      <c r="I208" s="257">
        <f t="shared" si="55"/>
        <v>0</v>
      </c>
      <c r="J208" s="257">
        <f t="shared" si="55"/>
        <v>0</v>
      </c>
      <c r="K208" s="257">
        <f t="shared" si="55"/>
        <v>0</v>
      </c>
      <c r="L208" s="257">
        <f t="shared" si="55"/>
        <v>0</v>
      </c>
      <c r="M208" s="257">
        <f t="shared" si="55"/>
        <v>0</v>
      </c>
      <c r="N208" s="257">
        <f t="shared" si="55"/>
        <v>0</v>
      </c>
      <c r="O208" s="257">
        <f t="shared" si="55"/>
        <v>0</v>
      </c>
      <c r="P208" s="257">
        <f t="shared" si="55"/>
        <v>0</v>
      </c>
      <c r="Q208" s="257">
        <f t="shared" si="55"/>
        <v>0</v>
      </c>
      <c r="R208" s="257">
        <f t="shared" si="55"/>
        <v>0</v>
      </c>
      <c r="S208" s="257">
        <f t="shared" si="55"/>
        <v>0</v>
      </c>
      <c r="T208" s="257">
        <f t="shared" si="55"/>
        <v>0</v>
      </c>
      <c r="U208" s="257">
        <f t="shared" si="55"/>
        <v>0</v>
      </c>
      <c r="V208" s="257">
        <f t="shared" si="55"/>
        <v>0</v>
      </c>
      <c r="W208" s="257">
        <f t="shared" si="55"/>
        <v>0</v>
      </c>
      <c r="X208" s="257">
        <f t="shared" si="55"/>
        <v>0</v>
      </c>
      <c r="Y208" s="257">
        <f t="shared" si="55"/>
        <v>0</v>
      </c>
      <c r="Z208" s="213">
        <f t="shared" si="57"/>
        <v>0</v>
      </c>
    </row>
    <row r="209" spans="1:26" hidden="1" x14ac:dyDescent="0.2">
      <c r="A209" s="3">
        <f t="shared" si="58"/>
        <v>4</v>
      </c>
      <c r="B209" s="257">
        <f t="shared" si="56"/>
        <v>0</v>
      </c>
      <c r="C209" s="257">
        <f t="shared" si="56"/>
        <v>0</v>
      </c>
      <c r="D209" s="257">
        <f t="shared" si="56"/>
        <v>0</v>
      </c>
      <c r="E209" s="257">
        <f t="shared" si="56"/>
        <v>0</v>
      </c>
      <c r="F209" s="257">
        <f t="shared" si="56"/>
        <v>0</v>
      </c>
      <c r="G209" s="257">
        <f t="shared" si="56"/>
        <v>0</v>
      </c>
      <c r="H209" s="257">
        <f t="shared" si="55"/>
        <v>0</v>
      </c>
      <c r="I209" s="257">
        <f t="shared" si="55"/>
        <v>0</v>
      </c>
      <c r="J209" s="257">
        <f t="shared" si="55"/>
        <v>0</v>
      </c>
      <c r="K209" s="257">
        <f t="shared" si="55"/>
        <v>0</v>
      </c>
      <c r="L209" s="257">
        <f t="shared" si="55"/>
        <v>0</v>
      </c>
      <c r="M209" s="257">
        <f t="shared" si="55"/>
        <v>0</v>
      </c>
      <c r="N209" s="257">
        <f t="shared" si="55"/>
        <v>0</v>
      </c>
      <c r="O209" s="257">
        <f t="shared" si="55"/>
        <v>0</v>
      </c>
      <c r="P209" s="257">
        <f t="shared" si="55"/>
        <v>0</v>
      </c>
      <c r="Q209" s="257">
        <f t="shared" si="55"/>
        <v>0</v>
      </c>
      <c r="R209" s="257">
        <f t="shared" si="55"/>
        <v>0</v>
      </c>
      <c r="S209" s="257">
        <f t="shared" si="55"/>
        <v>0</v>
      </c>
      <c r="T209" s="257">
        <f t="shared" si="55"/>
        <v>0</v>
      </c>
      <c r="U209" s="257">
        <f t="shared" si="55"/>
        <v>0</v>
      </c>
      <c r="V209" s="257">
        <f t="shared" si="55"/>
        <v>0</v>
      </c>
      <c r="W209" s="257">
        <f t="shared" si="55"/>
        <v>0</v>
      </c>
      <c r="X209" s="257">
        <f t="shared" si="55"/>
        <v>0</v>
      </c>
      <c r="Y209" s="257">
        <f t="shared" si="55"/>
        <v>0</v>
      </c>
      <c r="Z209" s="213">
        <f t="shared" si="57"/>
        <v>0</v>
      </c>
    </row>
    <row r="210" spans="1:26" hidden="1" x14ac:dyDescent="0.2">
      <c r="A210" s="3">
        <f t="shared" si="58"/>
        <v>5</v>
      </c>
      <c r="B210" s="257">
        <f t="shared" si="56"/>
        <v>0</v>
      </c>
      <c r="C210" s="257">
        <f t="shared" si="56"/>
        <v>0</v>
      </c>
      <c r="D210" s="257">
        <f t="shared" si="56"/>
        <v>0</v>
      </c>
      <c r="E210" s="257">
        <f t="shared" si="56"/>
        <v>0</v>
      </c>
      <c r="F210" s="257">
        <f t="shared" si="56"/>
        <v>0</v>
      </c>
      <c r="G210" s="257">
        <f t="shared" si="56"/>
        <v>0</v>
      </c>
      <c r="H210" s="257">
        <f t="shared" si="55"/>
        <v>0</v>
      </c>
      <c r="I210" s="257">
        <f t="shared" si="55"/>
        <v>0</v>
      </c>
      <c r="J210" s="257">
        <f t="shared" si="55"/>
        <v>0</v>
      </c>
      <c r="K210" s="257">
        <f t="shared" si="55"/>
        <v>0</v>
      </c>
      <c r="L210" s="257">
        <f t="shared" si="55"/>
        <v>0</v>
      </c>
      <c r="M210" s="257">
        <f t="shared" si="55"/>
        <v>0</v>
      </c>
      <c r="N210" s="257">
        <f t="shared" si="55"/>
        <v>0</v>
      </c>
      <c r="O210" s="257">
        <f t="shared" si="55"/>
        <v>0</v>
      </c>
      <c r="P210" s="257">
        <f t="shared" si="55"/>
        <v>0</v>
      </c>
      <c r="Q210" s="257">
        <f t="shared" si="55"/>
        <v>0</v>
      </c>
      <c r="R210" s="257">
        <f t="shared" si="55"/>
        <v>0</v>
      </c>
      <c r="S210" s="257">
        <f t="shared" si="55"/>
        <v>0</v>
      </c>
      <c r="T210" s="257">
        <f t="shared" si="55"/>
        <v>0</v>
      </c>
      <c r="U210" s="257">
        <f t="shared" si="55"/>
        <v>0</v>
      </c>
      <c r="V210" s="257">
        <f t="shared" si="55"/>
        <v>0</v>
      </c>
      <c r="W210" s="257">
        <f t="shared" si="55"/>
        <v>0</v>
      </c>
      <c r="X210" s="257">
        <f t="shared" si="55"/>
        <v>0</v>
      </c>
      <c r="Y210" s="257">
        <f t="shared" si="55"/>
        <v>0</v>
      </c>
      <c r="Z210" s="213">
        <f t="shared" si="57"/>
        <v>0</v>
      </c>
    </row>
    <row r="211" spans="1:26" hidden="1" x14ac:dyDescent="0.2">
      <c r="A211" s="3">
        <f t="shared" si="58"/>
        <v>6</v>
      </c>
      <c r="B211" s="257">
        <f t="shared" si="56"/>
        <v>0</v>
      </c>
      <c r="C211" s="257">
        <f t="shared" si="56"/>
        <v>0</v>
      </c>
      <c r="D211" s="257">
        <f t="shared" si="56"/>
        <v>0</v>
      </c>
      <c r="E211" s="257">
        <f t="shared" si="56"/>
        <v>0</v>
      </c>
      <c r="F211" s="257">
        <f t="shared" si="56"/>
        <v>0</v>
      </c>
      <c r="G211" s="257">
        <f t="shared" si="56"/>
        <v>0</v>
      </c>
      <c r="H211" s="257">
        <f t="shared" si="55"/>
        <v>0</v>
      </c>
      <c r="I211" s="257">
        <f t="shared" si="55"/>
        <v>0</v>
      </c>
      <c r="J211" s="257">
        <f t="shared" si="55"/>
        <v>0</v>
      </c>
      <c r="K211" s="257">
        <f t="shared" si="55"/>
        <v>0</v>
      </c>
      <c r="L211" s="257">
        <f t="shared" si="55"/>
        <v>0</v>
      </c>
      <c r="M211" s="257">
        <f t="shared" si="55"/>
        <v>0</v>
      </c>
      <c r="N211" s="257">
        <f t="shared" si="55"/>
        <v>0</v>
      </c>
      <c r="O211" s="257">
        <f t="shared" si="55"/>
        <v>0</v>
      </c>
      <c r="P211" s="257">
        <f t="shared" si="55"/>
        <v>0</v>
      </c>
      <c r="Q211" s="257">
        <f t="shared" si="55"/>
        <v>0</v>
      </c>
      <c r="R211" s="257">
        <f t="shared" si="55"/>
        <v>0</v>
      </c>
      <c r="S211" s="257">
        <f t="shared" si="55"/>
        <v>0</v>
      </c>
      <c r="T211" s="257">
        <f t="shared" si="55"/>
        <v>0</v>
      </c>
      <c r="U211" s="257">
        <f t="shared" si="55"/>
        <v>0</v>
      </c>
      <c r="V211" s="257">
        <f t="shared" si="55"/>
        <v>0</v>
      </c>
      <c r="W211" s="257">
        <f t="shared" si="55"/>
        <v>0</v>
      </c>
      <c r="X211" s="257">
        <f t="shared" si="55"/>
        <v>0</v>
      </c>
      <c r="Y211" s="257">
        <f t="shared" si="55"/>
        <v>0</v>
      </c>
      <c r="Z211" s="213">
        <f t="shared" si="57"/>
        <v>0</v>
      </c>
    </row>
    <row r="212" spans="1:26" hidden="1" x14ac:dyDescent="0.2">
      <c r="A212" s="3">
        <f t="shared" si="58"/>
        <v>7</v>
      </c>
      <c r="B212" s="257">
        <f t="shared" si="56"/>
        <v>0</v>
      </c>
      <c r="C212" s="257">
        <f t="shared" si="56"/>
        <v>0</v>
      </c>
      <c r="D212" s="257">
        <f t="shared" si="56"/>
        <v>0</v>
      </c>
      <c r="E212" s="257">
        <f t="shared" si="56"/>
        <v>0</v>
      </c>
      <c r="F212" s="257">
        <f t="shared" si="56"/>
        <v>0</v>
      </c>
      <c r="G212" s="257">
        <f t="shared" si="56"/>
        <v>0</v>
      </c>
      <c r="H212" s="257">
        <f t="shared" si="55"/>
        <v>0</v>
      </c>
      <c r="I212" s="257">
        <f t="shared" si="55"/>
        <v>0</v>
      </c>
      <c r="J212" s="257">
        <f t="shared" si="55"/>
        <v>0</v>
      </c>
      <c r="K212" s="257">
        <f t="shared" si="55"/>
        <v>0</v>
      </c>
      <c r="L212" s="257">
        <f t="shared" si="55"/>
        <v>0</v>
      </c>
      <c r="M212" s="257">
        <f t="shared" si="55"/>
        <v>0</v>
      </c>
      <c r="N212" s="257">
        <f t="shared" si="55"/>
        <v>0</v>
      </c>
      <c r="O212" s="257">
        <f t="shared" si="55"/>
        <v>0</v>
      </c>
      <c r="P212" s="257">
        <f t="shared" si="55"/>
        <v>0</v>
      </c>
      <c r="Q212" s="257">
        <f t="shared" si="55"/>
        <v>0</v>
      </c>
      <c r="R212" s="257">
        <f t="shared" si="55"/>
        <v>0</v>
      </c>
      <c r="S212" s="257">
        <f t="shared" si="55"/>
        <v>0</v>
      </c>
      <c r="T212" s="257">
        <f t="shared" si="55"/>
        <v>0</v>
      </c>
      <c r="U212" s="257">
        <f t="shared" si="55"/>
        <v>0</v>
      </c>
      <c r="V212" s="257">
        <f t="shared" si="55"/>
        <v>0</v>
      </c>
      <c r="W212" s="257">
        <f t="shared" si="55"/>
        <v>0</v>
      </c>
      <c r="X212" s="257">
        <f t="shared" si="55"/>
        <v>0</v>
      </c>
      <c r="Y212" s="257">
        <f t="shared" si="55"/>
        <v>0</v>
      </c>
      <c r="Z212" s="213">
        <f t="shared" si="57"/>
        <v>0</v>
      </c>
    </row>
    <row r="213" spans="1:26" hidden="1" x14ac:dyDescent="0.2">
      <c r="A213" s="3">
        <f t="shared" si="58"/>
        <v>8</v>
      </c>
      <c r="B213" s="257">
        <f t="shared" si="56"/>
        <v>0</v>
      </c>
      <c r="C213" s="257">
        <f t="shared" si="56"/>
        <v>0</v>
      </c>
      <c r="D213" s="257">
        <f t="shared" si="56"/>
        <v>0</v>
      </c>
      <c r="E213" s="257">
        <f t="shared" si="56"/>
        <v>0</v>
      </c>
      <c r="F213" s="257">
        <f t="shared" si="56"/>
        <v>0</v>
      </c>
      <c r="G213" s="257">
        <f t="shared" si="56"/>
        <v>0</v>
      </c>
      <c r="H213" s="257">
        <f t="shared" si="55"/>
        <v>0</v>
      </c>
      <c r="I213" s="257">
        <f t="shared" si="55"/>
        <v>0</v>
      </c>
      <c r="J213" s="257">
        <f t="shared" si="55"/>
        <v>0</v>
      </c>
      <c r="K213" s="257">
        <f t="shared" si="55"/>
        <v>0</v>
      </c>
      <c r="L213" s="257">
        <f t="shared" si="55"/>
        <v>0</v>
      </c>
      <c r="M213" s="257">
        <f t="shared" si="55"/>
        <v>0</v>
      </c>
      <c r="N213" s="257">
        <f t="shared" si="55"/>
        <v>0</v>
      </c>
      <c r="O213" s="257">
        <f t="shared" si="55"/>
        <v>0</v>
      </c>
      <c r="P213" s="257">
        <f t="shared" si="55"/>
        <v>0</v>
      </c>
      <c r="Q213" s="257">
        <f t="shared" si="55"/>
        <v>0</v>
      </c>
      <c r="R213" s="257">
        <f t="shared" si="55"/>
        <v>0</v>
      </c>
      <c r="S213" s="257">
        <f t="shared" si="55"/>
        <v>0</v>
      </c>
      <c r="T213" s="257">
        <f t="shared" si="55"/>
        <v>0</v>
      </c>
      <c r="U213" s="257">
        <f t="shared" si="55"/>
        <v>0</v>
      </c>
      <c r="V213" s="257">
        <f t="shared" si="55"/>
        <v>0</v>
      </c>
      <c r="W213" s="257">
        <f t="shared" si="55"/>
        <v>0</v>
      </c>
      <c r="X213" s="257">
        <f t="shared" si="55"/>
        <v>0</v>
      </c>
      <c r="Y213" s="257">
        <f t="shared" si="55"/>
        <v>0</v>
      </c>
      <c r="Z213" s="213">
        <f t="shared" si="57"/>
        <v>0</v>
      </c>
    </row>
    <row r="214" spans="1:26" hidden="1" x14ac:dyDescent="0.2">
      <c r="A214" s="3">
        <f t="shared" si="58"/>
        <v>9</v>
      </c>
      <c r="B214" s="257">
        <f t="shared" si="56"/>
        <v>0</v>
      </c>
      <c r="C214" s="257">
        <f t="shared" si="56"/>
        <v>0</v>
      </c>
      <c r="D214" s="257">
        <f t="shared" si="56"/>
        <v>0</v>
      </c>
      <c r="E214" s="257">
        <f t="shared" si="56"/>
        <v>0</v>
      </c>
      <c r="F214" s="257">
        <f t="shared" si="56"/>
        <v>0</v>
      </c>
      <c r="G214" s="257">
        <f t="shared" si="56"/>
        <v>0</v>
      </c>
      <c r="H214" s="257">
        <f t="shared" si="55"/>
        <v>0</v>
      </c>
      <c r="I214" s="257">
        <f t="shared" si="55"/>
        <v>0</v>
      </c>
      <c r="J214" s="257">
        <f t="shared" si="55"/>
        <v>0</v>
      </c>
      <c r="K214" s="257">
        <f t="shared" si="55"/>
        <v>0</v>
      </c>
      <c r="L214" s="257">
        <f t="shared" si="55"/>
        <v>0</v>
      </c>
      <c r="M214" s="257">
        <f t="shared" si="55"/>
        <v>0</v>
      </c>
      <c r="N214" s="257">
        <f t="shared" si="55"/>
        <v>0</v>
      </c>
      <c r="O214" s="257">
        <f t="shared" si="55"/>
        <v>0</v>
      </c>
      <c r="P214" s="257">
        <f t="shared" si="55"/>
        <v>0</v>
      </c>
      <c r="Q214" s="257">
        <f t="shared" si="55"/>
        <v>0</v>
      </c>
      <c r="R214" s="257">
        <f t="shared" si="55"/>
        <v>0</v>
      </c>
      <c r="S214" s="257">
        <f t="shared" si="55"/>
        <v>0</v>
      </c>
      <c r="T214" s="257">
        <f t="shared" si="55"/>
        <v>0</v>
      </c>
      <c r="U214" s="257">
        <f t="shared" si="55"/>
        <v>0</v>
      </c>
      <c r="V214" s="257">
        <f t="shared" si="55"/>
        <v>0</v>
      </c>
      <c r="W214" s="257">
        <f t="shared" si="55"/>
        <v>0</v>
      </c>
      <c r="X214" s="257">
        <f t="shared" si="55"/>
        <v>0</v>
      </c>
      <c r="Y214" s="257">
        <f t="shared" si="55"/>
        <v>0</v>
      </c>
      <c r="Z214" s="213">
        <f t="shared" si="57"/>
        <v>0</v>
      </c>
    </row>
    <row r="215" spans="1:26" hidden="1" x14ac:dyDescent="0.2">
      <c r="A215" s="3">
        <f t="shared" si="58"/>
        <v>10</v>
      </c>
      <c r="B215" s="257">
        <f t="shared" si="56"/>
        <v>0</v>
      </c>
      <c r="C215" s="257">
        <f t="shared" si="56"/>
        <v>0</v>
      </c>
      <c r="D215" s="257">
        <f t="shared" si="56"/>
        <v>0</v>
      </c>
      <c r="E215" s="257">
        <f t="shared" si="56"/>
        <v>0</v>
      </c>
      <c r="F215" s="257">
        <f t="shared" si="56"/>
        <v>0</v>
      </c>
      <c r="G215" s="257">
        <f t="shared" si="56"/>
        <v>0</v>
      </c>
      <c r="H215" s="257">
        <f t="shared" si="55"/>
        <v>0</v>
      </c>
      <c r="I215" s="257">
        <f t="shared" si="55"/>
        <v>0</v>
      </c>
      <c r="J215" s="257">
        <f t="shared" si="55"/>
        <v>0</v>
      </c>
      <c r="K215" s="257">
        <f t="shared" si="55"/>
        <v>0</v>
      </c>
      <c r="L215" s="257">
        <f t="shared" si="55"/>
        <v>0</v>
      </c>
      <c r="M215" s="257">
        <f t="shared" si="55"/>
        <v>0</v>
      </c>
      <c r="N215" s="257">
        <f t="shared" si="55"/>
        <v>0</v>
      </c>
      <c r="O215" s="257">
        <f t="shared" si="55"/>
        <v>0</v>
      </c>
      <c r="P215" s="257">
        <f t="shared" si="55"/>
        <v>0</v>
      </c>
      <c r="Q215" s="257">
        <f t="shared" si="55"/>
        <v>0</v>
      </c>
      <c r="R215" s="257">
        <f t="shared" si="55"/>
        <v>0</v>
      </c>
      <c r="S215" s="257">
        <f t="shared" si="55"/>
        <v>0</v>
      </c>
      <c r="T215" s="257">
        <f t="shared" si="55"/>
        <v>0</v>
      </c>
      <c r="U215" s="257">
        <f t="shared" si="55"/>
        <v>0</v>
      </c>
      <c r="V215" s="257">
        <f t="shared" si="55"/>
        <v>0</v>
      </c>
      <c r="W215" s="257">
        <f t="shared" si="55"/>
        <v>0</v>
      </c>
      <c r="X215" s="257">
        <f t="shared" si="55"/>
        <v>0</v>
      </c>
      <c r="Y215" s="257">
        <f t="shared" si="55"/>
        <v>0</v>
      </c>
      <c r="Z215" s="213">
        <f t="shared" si="57"/>
        <v>0</v>
      </c>
    </row>
    <row r="216" spans="1:26" hidden="1" x14ac:dyDescent="0.2">
      <c r="A216" s="3">
        <f t="shared" si="58"/>
        <v>11</v>
      </c>
      <c r="B216" s="257">
        <f t="shared" si="56"/>
        <v>0</v>
      </c>
      <c r="C216" s="257">
        <f t="shared" si="56"/>
        <v>0</v>
      </c>
      <c r="D216" s="257">
        <f t="shared" si="56"/>
        <v>0</v>
      </c>
      <c r="E216" s="257">
        <f t="shared" si="56"/>
        <v>0</v>
      </c>
      <c r="F216" s="257">
        <f t="shared" si="56"/>
        <v>0</v>
      </c>
      <c r="G216" s="257">
        <f t="shared" si="56"/>
        <v>0</v>
      </c>
      <c r="H216" s="257">
        <f t="shared" si="55"/>
        <v>0</v>
      </c>
      <c r="I216" s="257">
        <f t="shared" si="55"/>
        <v>0</v>
      </c>
      <c r="J216" s="257">
        <f t="shared" si="55"/>
        <v>0</v>
      </c>
      <c r="K216" s="257">
        <f t="shared" si="55"/>
        <v>0</v>
      </c>
      <c r="L216" s="257">
        <f t="shared" si="55"/>
        <v>0</v>
      </c>
      <c r="M216" s="257">
        <f t="shared" si="55"/>
        <v>0</v>
      </c>
      <c r="N216" s="257">
        <f t="shared" si="55"/>
        <v>0</v>
      </c>
      <c r="O216" s="257">
        <f t="shared" si="55"/>
        <v>0</v>
      </c>
      <c r="P216" s="257">
        <f t="shared" si="55"/>
        <v>0</v>
      </c>
      <c r="Q216" s="257">
        <f t="shared" si="55"/>
        <v>0</v>
      </c>
      <c r="R216" s="257">
        <f t="shared" si="55"/>
        <v>0</v>
      </c>
      <c r="S216" s="257">
        <f t="shared" si="55"/>
        <v>0</v>
      </c>
      <c r="T216" s="257">
        <f t="shared" si="55"/>
        <v>0</v>
      </c>
      <c r="U216" s="257">
        <f t="shared" si="55"/>
        <v>0</v>
      </c>
      <c r="V216" s="257">
        <f t="shared" si="55"/>
        <v>0</v>
      </c>
      <c r="W216" s="257">
        <f t="shared" si="55"/>
        <v>0</v>
      </c>
      <c r="X216" s="257">
        <f t="shared" si="55"/>
        <v>0</v>
      </c>
      <c r="Y216" s="257">
        <f t="shared" si="55"/>
        <v>0</v>
      </c>
      <c r="Z216" s="213">
        <f t="shared" si="57"/>
        <v>0</v>
      </c>
    </row>
    <row r="217" spans="1:26" hidden="1" x14ac:dyDescent="0.2">
      <c r="A217" s="3">
        <f t="shared" si="58"/>
        <v>12</v>
      </c>
      <c r="B217" s="257">
        <f t="shared" si="56"/>
        <v>0</v>
      </c>
      <c r="C217" s="257">
        <f t="shared" si="56"/>
        <v>0</v>
      </c>
      <c r="D217" s="257">
        <f t="shared" si="56"/>
        <v>0</v>
      </c>
      <c r="E217" s="257">
        <f t="shared" si="56"/>
        <v>0</v>
      </c>
      <c r="F217" s="257">
        <f t="shared" si="56"/>
        <v>0</v>
      </c>
      <c r="G217" s="257">
        <f t="shared" si="56"/>
        <v>0</v>
      </c>
      <c r="H217" s="257">
        <f t="shared" si="55"/>
        <v>0</v>
      </c>
      <c r="I217" s="257">
        <f t="shared" si="55"/>
        <v>0</v>
      </c>
      <c r="J217" s="257">
        <f t="shared" si="55"/>
        <v>0</v>
      </c>
      <c r="K217" s="257">
        <f t="shared" si="55"/>
        <v>0</v>
      </c>
      <c r="L217" s="257">
        <f t="shared" si="55"/>
        <v>0</v>
      </c>
      <c r="M217" s="257">
        <f t="shared" si="55"/>
        <v>0</v>
      </c>
      <c r="N217" s="257">
        <f t="shared" si="55"/>
        <v>0</v>
      </c>
      <c r="O217" s="257">
        <f t="shared" si="55"/>
        <v>0</v>
      </c>
      <c r="P217" s="257">
        <f t="shared" si="55"/>
        <v>0</v>
      </c>
      <c r="Q217" s="257">
        <f t="shared" si="55"/>
        <v>0</v>
      </c>
      <c r="R217" s="257">
        <f t="shared" si="55"/>
        <v>0</v>
      </c>
      <c r="S217" s="257">
        <f t="shared" si="55"/>
        <v>0</v>
      </c>
      <c r="T217" s="257">
        <f t="shared" si="55"/>
        <v>0</v>
      </c>
      <c r="U217" s="257">
        <f t="shared" si="55"/>
        <v>0</v>
      </c>
      <c r="V217" s="257">
        <f t="shared" si="55"/>
        <v>0</v>
      </c>
      <c r="W217" s="257">
        <f t="shared" si="55"/>
        <v>0</v>
      </c>
      <c r="X217" s="257">
        <f t="shared" si="55"/>
        <v>0</v>
      </c>
      <c r="Y217" s="257">
        <f t="shared" si="55"/>
        <v>0</v>
      </c>
      <c r="Z217" s="213">
        <f t="shared" si="57"/>
        <v>0</v>
      </c>
    </row>
    <row r="218" spans="1:26" hidden="1" x14ac:dyDescent="0.2"/>
    <row r="219" spans="1:26" hidden="1" x14ac:dyDescent="0.2"/>
    <row r="220" spans="1:26" hidden="1" x14ac:dyDescent="0.2">
      <c r="A220" s="78" t="s">
        <v>221</v>
      </c>
      <c r="B220" s="78" t="s">
        <v>222</v>
      </c>
    </row>
    <row r="221" spans="1:26" ht="13.5" hidden="1" thickTop="1" x14ac:dyDescent="0.2">
      <c r="A221" s="7" t="s">
        <v>119</v>
      </c>
      <c r="B221" s="3">
        <v>1</v>
      </c>
      <c r="C221" s="3">
        <f>B221+1</f>
        <v>2</v>
      </c>
      <c r="D221" s="3">
        <f t="shared" ref="D221:K221" si="59">C221+1</f>
        <v>3</v>
      </c>
      <c r="E221" s="3">
        <f t="shared" si="59"/>
        <v>4</v>
      </c>
      <c r="F221" s="3">
        <f t="shared" si="59"/>
        <v>5</v>
      </c>
      <c r="G221" s="3">
        <f t="shared" si="59"/>
        <v>6</v>
      </c>
      <c r="H221" s="3">
        <f t="shared" si="59"/>
        <v>7</v>
      </c>
      <c r="I221" s="3">
        <f t="shared" si="59"/>
        <v>8</v>
      </c>
      <c r="J221" s="3">
        <f t="shared" si="59"/>
        <v>9</v>
      </c>
      <c r="K221" s="3">
        <f t="shared" si="59"/>
        <v>10</v>
      </c>
      <c r="L221" s="78" t="s">
        <v>223</v>
      </c>
      <c r="M221" s="3" t="s">
        <v>0</v>
      </c>
      <c r="O221" s="3">
        <v>1</v>
      </c>
      <c r="P221" s="3">
        <f>O221+1</f>
        <v>2</v>
      </c>
      <c r="Q221" s="3">
        <f t="shared" ref="Q221:X221" si="60">P221+1</f>
        <v>3</v>
      </c>
      <c r="R221" s="3">
        <f t="shared" si="60"/>
        <v>4</v>
      </c>
      <c r="S221" s="3">
        <f t="shared" si="60"/>
        <v>5</v>
      </c>
      <c r="T221" s="3">
        <f t="shared" si="60"/>
        <v>6</v>
      </c>
      <c r="U221" s="3">
        <f t="shared" si="60"/>
        <v>7</v>
      </c>
      <c r="V221" s="3">
        <f t="shared" si="60"/>
        <v>8</v>
      </c>
      <c r="W221" s="3">
        <f t="shared" si="60"/>
        <v>9</v>
      </c>
      <c r="X221" s="3">
        <f t="shared" si="60"/>
        <v>10</v>
      </c>
    </row>
    <row r="222" spans="1:26" hidden="1" x14ac:dyDescent="0.2">
      <c r="A222" s="118">
        <v>1</v>
      </c>
      <c r="B222" s="258" t="str" cm="1">
        <f t="array" ref="B222">IFERROR(IF(AND(
   INDEX(Loans!$K$4:$K$7, MATCH($A222, Loans!$A$4:$A$7, 0))&lt;&gt;"",
   TRIM(INDEX(Loans!$K$4:$K$7, MATCH($A222, Loans!$A$4:$A$7, 0)))
   =TRIM(INDEX('Properties &amp; Ind Income'!$C$3:$C$12, B$221))
 ), "Y", ""), "")</f>
        <v/>
      </c>
      <c r="C222" s="258" t="str" cm="1">
        <f t="array" ref="C222">IFERROR(IF(AND(
   INDEX(Loans!$K$4:$K$7, MATCH($A222, Loans!$A$4:$A$7, 0))&lt;&gt;"",
   TRIM(INDEX(Loans!$K$4:$K$7, MATCH($A222, Loans!$A$4:$A$7, 0)))
   =TRIM(INDEX('Properties &amp; Ind Income'!$C$3:$C$12, C$221))
 ), "Y", ""), "")</f>
        <v/>
      </c>
      <c r="D222" s="258" t="str" cm="1">
        <f t="array" ref="D222">IFERROR(IF(AND(
   INDEX(Loans!$K$4:$K$7, MATCH($A222, Loans!$A$4:$A$7, 0))&lt;&gt;"",
   TRIM(INDEX(Loans!$K$4:$K$7, MATCH($A222, Loans!$A$4:$A$7, 0)))
   =TRIM(INDEX('Properties &amp; Ind Income'!$C$3:$C$12, D$221))
 ), "Y", ""), "")</f>
        <v/>
      </c>
      <c r="E222" s="258" t="str" cm="1">
        <f t="array" ref="E222">IFERROR(IF(AND(
   INDEX(Loans!$K$4:$K$7, MATCH($A222, Loans!$A$4:$A$7, 0))&lt;&gt;"",
   TRIM(INDEX(Loans!$K$4:$K$7, MATCH($A222, Loans!$A$4:$A$7, 0)))
   =TRIM(INDEX('Properties &amp; Ind Income'!$C$3:$C$12, E$221))
 ), "Y", ""), "")</f>
        <v/>
      </c>
      <c r="F222" s="258" t="str" cm="1">
        <f t="array" ref="F222">IFERROR(IF(AND(
   INDEX(Loans!$K$4:$K$7, MATCH($A222, Loans!$A$4:$A$7, 0))&lt;&gt;"",
   TRIM(INDEX(Loans!$K$4:$K$7, MATCH($A222, Loans!$A$4:$A$7, 0)))
   =TRIM(INDEX('Properties &amp; Ind Income'!$C$3:$C$12, F$221))
 ), "Y", ""), "")</f>
        <v/>
      </c>
      <c r="G222" s="258" t="str" cm="1">
        <f t="array" ref="G222">IFERROR(IF(AND(
   INDEX(Loans!$K$4:$K$7, MATCH($A222, Loans!$A$4:$A$7, 0))&lt;&gt;"",
   TRIM(INDEX(Loans!$K$4:$K$7, MATCH($A222, Loans!$A$4:$A$7, 0)))
   =TRIM(INDEX('Properties &amp; Ind Income'!$C$3:$C$12, G$221))
 ), "Y", ""), "")</f>
        <v/>
      </c>
      <c r="H222" s="258" t="str" cm="1">
        <f t="array" ref="H222">IFERROR(IF(AND(
   INDEX(Loans!$K$4:$K$7, MATCH($A222, Loans!$A$4:$A$7, 0))&lt;&gt;"",
   TRIM(INDEX(Loans!$K$4:$K$7, MATCH($A222, Loans!$A$4:$A$7, 0)))
   =TRIM(INDEX('Properties &amp; Ind Income'!$C$3:$C$12, H$221))
 ), "Y", ""), "")</f>
        <v/>
      </c>
      <c r="I222" s="258" t="str" cm="1">
        <f t="array" ref="I222">IFERROR(IF(AND(
   INDEX(Loans!$K$4:$K$7, MATCH($A222, Loans!$A$4:$A$7, 0))&lt;&gt;"",
   TRIM(INDEX(Loans!$K$4:$K$7, MATCH($A222, Loans!$A$4:$A$7, 0)))
   =TRIM(INDEX('Properties &amp; Ind Income'!$C$3:$C$12, I$221))
 ), "Y", ""), "")</f>
        <v/>
      </c>
      <c r="J222" s="258" t="str" cm="1">
        <f t="array" ref="J222">IFERROR(IF(AND(
   INDEX(Loans!$K$4:$K$7, MATCH($A222, Loans!$A$4:$A$7, 0))&lt;&gt;"",
   TRIM(INDEX(Loans!$K$4:$K$7, MATCH($A222, Loans!$A$4:$A$7, 0)))
   =TRIM(INDEX('Properties &amp; Ind Income'!$C$3:$C$12, J$221))
 ), "Y", ""), "")</f>
        <v/>
      </c>
      <c r="K222" s="258" t="str" cm="1">
        <f t="array" ref="K222">IFERROR(IF(AND(
   INDEX(Loans!$K$4:$K$7, MATCH($A222, Loans!$A$4:$A$7, 0))&lt;&gt;"",
   TRIM(INDEX(Loans!$K$4:$K$7, MATCH($A222, Loans!$A$4:$A$7, 0)))
   =TRIM(INDEX('Properties &amp; Ind Income'!$C$3:$C$12, K$221))
 ), "Y", ""), "")</f>
        <v/>
      </c>
      <c r="L222" s="212">
        <f>SUM(O222:X222)</f>
        <v>0</v>
      </c>
      <c r="M222" s="213">
        <f>SUM(B147:B158)</f>
        <v>0</v>
      </c>
      <c r="O222" s="212" cm="1">
        <f t="array" ref="O222">IF(B222="Y",B$125*$M222/SUMPRODUCT($M$222:$M$225,--(B$222:B$225="Y")),0)</f>
        <v>0</v>
      </c>
      <c r="P222" s="212" cm="1">
        <f t="array" ref="P222">IF(C222="Y",C$125*$M222/SUMPRODUCT($M$222:$M$225,--(C$222:C$225="Y")),0)</f>
        <v>0</v>
      </c>
      <c r="Q222" s="212" cm="1">
        <f t="array" ref="Q222">IF(D222="Y",D$125*$M222/SUMPRODUCT($M$222:$M$225,--(D$222:D$225="Y")),0)</f>
        <v>0</v>
      </c>
      <c r="R222" s="212" cm="1">
        <f t="array" ref="R222">IF(E222="Y",E$125*$M222/SUMPRODUCT($M$222:$M$225,--(E$222:E$225="Y")),0)</f>
        <v>0</v>
      </c>
      <c r="S222" s="212" cm="1">
        <f t="array" ref="S222">IF(F222="Y",F$125*$M222/SUMPRODUCT($M$222:$M$225,--(F$222:F$225="Y")),0)</f>
        <v>0</v>
      </c>
      <c r="T222" s="212" cm="1">
        <f t="array" ref="T222">IF(G222="Y",G$125*$M222/SUMPRODUCT($M$222:$M$225,--(G$222:G$225="Y")),0)</f>
        <v>0</v>
      </c>
      <c r="U222" s="212" cm="1">
        <f t="array" ref="U222">IF(H222="Y",H$125*$M222/SUMPRODUCT($M$222:$M$225,--(H$222:H$225="Y")),0)</f>
        <v>0</v>
      </c>
      <c r="V222" s="212" cm="1">
        <f t="array" ref="V222">IF(I222="Y",I$125*$M222/SUMPRODUCT($M$222:$M$225,--(I$222:I$225="Y")),0)</f>
        <v>0</v>
      </c>
      <c r="W222" s="212" cm="1">
        <f t="array" ref="W222">IF(J222="Y",J$125*$M222/SUMPRODUCT($M$222:$M$225,--(J$222:J$225="Y")),0)</f>
        <v>0</v>
      </c>
      <c r="X222" s="212" cm="1">
        <f t="array" ref="X222">IF(K222="Y",K$125*$M222/SUMPRODUCT($M$222:$M$225,--(K$222:K$225="Y")),0)</f>
        <v>0</v>
      </c>
    </row>
    <row r="223" spans="1:26" hidden="1" x14ac:dyDescent="0.2">
      <c r="A223" s="124">
        <f>A222+1</f>
        <v>2</v>
      </c>
      <c r="B223" s="258" t="str" cm="1">
        <f t="array" ref="B223">IFERROR(IF(AND(
   INDEX(Loans!$K$4:$K$7, MATCH($A223, Loans!$A$4:$A$7, 0))&lt;&gt;"",
   TRIM(INDEX(Loans!$K$4:$K$7, MATCH($A223, Loans!$A$4:$A$7, 0)))
   =TRIM(INDEX('Properties &amp; Ind Income'!$C$3:$C$12, B$221))
 ), "Y", ""), "")</f>
        <v/>
      </c>
      <c r="C223" s="258" t="str" cm="1">
        <f t="array" ref="C223">IFERROR(IF(AND(
   INDEX(Loans!$K$4:$K$7, MATCH($A223, Loans!$A$4:$A$7, 0))&lt;&gt;"",
   TRIM(INDEX(Loans!$K$4:$K$7, MATCH($A223, Loans!$A$4:$A$7, 0)))
   =TRIM(INDEX('Properties &amp; Ind Income'!$C$3:$C$12, C$221))
 ), "Y", ""), "")</f>
        <v/>
      </c>
      <c r="D223" s="258" t="str" cm="1">
        <f t="array" ref="D223">IFERROR(IF(AND(
   INDEX(Loans!$K$4:$K$7, MATCH($A223, Loans!$A$4:$A$7, 0))&lt;&gt;"",
   TRIM(INDEX(Loans!$K$4:$K$7, MATCH($A223, Loans!$A$4:$A$7, 0)))
   =TRIM(INDEX('Properties &amp; Ind Income'!$C$3:$C$12, D$221))
 ), "Y", ""), "")</f>
        <v/>
      </c>
      <c r="E223" s="258" t="str" cm="1">
        <f t="array" ref="E223">IFERROR(IF(AND(
   INDEX(Loans!$K$4:$K$7, MATCH($A223, Loans!$A$4:$A$7, 0))&lt;&gt;"",
   TRIM(INDEX(Loans!$K$4:$K$7, MATCH($A223, Loans!$A$4:$A$7, 0)))
   =TRIM(INDEX('Properties &amp; Ind Income'!$C$3:$C$12, E$221))
 ), "Y", ""), "")</f>
        <v/>
      </c>
      <c r="F223" s="258" t="str" cm="1">
        <f t="array" ref="F223">IFERROR(IF(AND(
   INDEX(Loans!$K$4:$K$7, MATCH($A223, Loans!$A$4:$A$7, 0))&lt;&gt;"",
   TRIM(INDEX(Loans!$K$4:$K$7, MATCH($A223, Loans!$A$4:$A$7, 0)))
   =TRIM(INDEX('Properties &amp; Ind Income'!$C$3:$C$12, F$221))
 ), "Y", ""), "")</f>
        <v/>
      </c>
      <c r="G223" s="258" t="str" cm="1">
        <f t="array" ref="G223">IFERROR(IF(AND(
   INDEX(Loans!$K$4:$K$7, MATCH($A223, Loans!$A$4:$A$7, 0))&lt;&gt;"",
   TRIM(INDEX(Loans!$K$4:$K$7, MATCH($A223, Loans!$A$4:$A$7, 0)))
   =TRIM(INDEX('Properties &amp; Ind Income'!$C$3:$C$12, G$221))
 ), "Y", ""), "")</f>
        <v/>
      </c>
      <c r="H223" s="258" t="str" cm="1">
        <f t="array" ref="H223">IFERROR(IF(AND(
   INDEX(Loans!$K$4:$K$7, MATCH($A223, Loans!$A$4:$A$7, 0))&lt;&gt;"",
   TRIM(INDEX(Loans!$K$4:$K$7, MATCH($A223, Loans!$A$4:$A$7, 0)))
   =TRIM(INDEX('Properties &amp; Ind Income'!$C$3:$C$12, H$221))
 ), "Y", ""), "")</f>
        <v/>
      </c>
      <c r="I223" s="258" t="str" cm="1">
        <f t="array" ref="I223">IFERROR(IF(AND(
   INDEX(Loans!$K$4:$K$7, MATCH($A223, Loans!$A$4:$A$7, 0))&lt;&gt;"",
   TRIM(INDEX(Loans!$K$4:$K$7, MATCH($A223, Loans!$A$4:$A$7, 0)))
   =TRIM(INDEX('Properties &amp; Ind Income'!$C$3:$C$12, I$221))
 ), "Y", ""), "")</f>
        <v/>
      </c>
      <c r="J223" s="258" t="str" cm="1">
        <f t="array" ref="J223">IFERROR(IF(AND(
   INDEX(Loans!$K$4:$K$7, MATCH($A223, Loans!$A$4:$A$7, 0))&lt;&gt;"",
   TRIM(INDEX(Loans!$K$4:$K$7, MATCH($A223, Loans!$A$4:$A$7, 0)))
   =TRIM(INDEX('Properties &amp; Ind Income'!$C$3:$C$12, J$221))
 ), "Y", ""), "")</f>
        <v/>
      </c>
      <c r="K223" s="258" t="str" cm="1">
        <f t="array" ref="K223">IFERROR(IF(AND(
   INDEX(Loans!$K$4:$K$7, MATCH($A223, Loans!$A$4:$A$7, 0))&lt;&gt;"",
   TRIM(INDEX(Loans!$K$4:$K$7, MATCH($A223, Loans!$A$4:$A$7, 0)))
   =TRIM(INDEX('Properties &amp; Ind Income'!$C$3:$C$12, K$221))
 ), "Y", ""), "")</f>
        <v/>
      </c>
      <c r="L223" s="212">
        <f t="shared" ref="L223:L225" si="61">SUM(O223:X223)</f>
        <v>0</v>
      </c>
      <c r="M223" s="213">
        <f>SUM(C147:C158)</f>
        <v>0</v>
      </c>
      <c r="N223" s="198"/>
      <c r="O223" s="212" cm="1">
        <f t="array" ref="O223">IF(B223="Y",B$125*$M223/SUMPRODUCT($M$222:$M$225,--(B$222:B$225="Y")),0)</f>
        <v>0</v>
      </c>
      <c r="P223" s="212" cm="1">
        <f t="array" ref="P223">IF(C223="Y",C$125*$M223/SUMPRODUCT($M$222:$M$225,--(C$222:C$225="Y")),0)</f>
        <v>0</v>
      </c>
      <c r="Q223" s="212" cm="1">
        <f t="array" ref="Q223">IF(D223="Y",D$125*$M223/SUMPRODUCT($M$222:$M$225,--(D$222:D$225="Y")),0)</f>
        <v>0</v>
      </c>
      <c r="R223" s="212" cm="1">
        <f t="array" ref="R223">IF(E223="Y",E$125*$M223/SUMPRODUCT($M$222:$M$225,--(E$222:E$225="Y")),0)</f>
        <v>0</v>
      </c>
      <c r="S223" s="212" cm="1">
        <f t="array" ref="S223">IF(F223="Y",F$125*$M223/SUMPRODUCT($M$222:$M$225,--(F$222:F$225="Y")),0)</f>
        <v>0</v>
      </c>
      <c r="T223" s="212" cm="1">
        <f t="array" ref="T223">IF(G223="Y",G$125*$M223/SUMPRODUCT($M$222:$M$225,--(G$222:G$225="Y")),0)</f>
        <v>0</v>
      </c>
      <c r="U223" s="212" cm="1">
        <f t="array" ref="U223">IF(H223="Y",H$125*$M223/SUMPRODUCT($M$222:$M$225,--(H$222:H$225="Y")),0)</f>
        <v>0</v>
      </c>
      <c r="V223" s="212" cm="1">
        <f t="array" ref="V223">IF(I223="Y",I$125*$M223/SUMPRODUCT($M$222:$M$225,--(I$222:I$225="Y")),0)</f>
        <v>0</v>
      </c>
      <c r="W223" s="212" cm="1">
        <f t="array" ref="W223">IF(J223="Y",J$125*$M223/SUMPRODUCT($M$222:$M$225,--(J$222:J$225="Y")),0)</f>
        <v>0</v>
      </c>
      <c r="X223" s="212" cm="1">
        <f t="array" ref="X223">IF(K223="Y",K$125*$M223/SUMPRODUCT($M$222:$M$225,--(K$222:K$225="Y")),0)</f>
        <v>0</v>
      </c>
    </row>
    <row r="224" spans="1:26" hidden="1" x14ac:dyDescent="0.2">
      <c r="A224" s="124">
        <f t="shared" ref="A224:A225" si="62">A223+1</f>
        <v>3</v>
      </c>
      <c r="B224" s="258" t="str" cm="1">
        <f t="array" ref="B224">IFERROR(IF(AND(
   INDEX(Loans!$K$4:$K$7, MATCH($A224, Loans!$A$4:$A$7, 0))&lt;&gt;"",
   TRIM(INDEX(Loans!$K$4:$K$7, MATCH($A224, Loans!$A$4:$A$7, 0)))
   =TRIM(INDEX('Properties &amp; Ind Income'!$C$3:$C$12, B$221))
 ), "Y", ""), "")</f>
        <v/>
      </c>
      <c r="C224" s="258" t="str" cm="1">
        <f t="array" ref="C224">IFERROR(IF(AND(
   INDEX(Loans!$K$4:$K$7, MATCH($A224, Loans!$A$4:$A$7, 0))&lt;&gt;"",
   TRIM(INDEX(Loans!$K$4:$K$7, MATCH($A224, Loans!$A$4:$A$7, 0)))
   =TRIM(INDEX('Properties &amp; Ind Income'!$C$3:$C$12, C$221))
 ), "Y", ""), "")</f>
        <v/>
      </c>
      <c r="D224" s="258" t="str" cm="1">
        <f t="array" ref="D224">IFERROR(IF(AND(
   INDEX(Loans!$K$4:$K$7, MATCH($A224, Loans!$A$4:$A$7, 0))&lt;&gt;"",
   TRIM(INDEX(Loans!$K$4:$K$7, MATCH($A224, Loans!$A$4:$A$7, 0)))
   =TRIM(INDEX('Properties &amp; Ind Income'!$C$3:$C$12, D$221))
 ), "Y", ""), "")</f>
        <v/>
      </c>
      <c r="E224" s="258" t="str" cm="1">
        <f t="array" ref="E224">IFERROR(IF(AND(
   INDEX(Loans!$K$4:$K$7, MATCH($A224, Loans!$A$4:$A$7, 0))&lt;&gt;"",
   TRIM(INDEX(Loans!$K$4:$K$7, MATCH($A224, Loans!$A$4:$A$7, 0)))
   =TRIM(INDEX('Properties &amp; Ind Income'!$C$3:$C$12, E$221))
 ), "Y", ""), "")</f>
        <v/>
      </c>
      <c r="F224" s="258" t="str" cm="1">
        <f t="array" ref="F224">IFERROR(IF(AND(
   INDEX(Loans!$K$4:$K$7, MATCH($A224, Loans!$A$4:$A$7, 0))&lt;&gt;"",
   TRIM(INDEX(Loans!$K$4:$K$7, MATCH($A224, Loans!$A$4:$A$7, 0)))
   =TRIM(INDEX('Properties &amp; Ind Income'!$C$3:$C$12, F$221))
 ), "Y", ""), "")</f>
        <v/>
      </c>
      <c r="G224" s="258" t="str" cm="1">
        <f t="array" ref="G224">IFERROR(IF(AND(
   INDEX(Loans!$K$4:$K$7, MATCH($A224, Loans!$A$4:$A$7, 0))&lt;&gt;"",
   TRIM(INDEX(Loans!$K$4:$K$7, MATCH($A224, Loans!$A$4:$A$7, 0)))
   =TRIM(INDEX('Properties &amp; Ind Income'!$C$3:$C$12, G$221))
 ), "Y", ""), "")</f>
        <v/>
      </c>
      <c r="H224" s="258" t="str" cm="1">
        <f t="array" ref="H224">IFERROR(IF(AND(
   INDEX(Loans!$K$4:$K$7, MATCH($A224, Loans!$A$4:$A$7, 0))&lt;&gt;"",
   TRIM(INDEX(Loans!$K$4:$K$7, MATCH($A224, Loans!$A$4:$A$7, 0)))
   =TRIM(INDEX('Properties &amp; Ind Income'!$C$3:$C$12, H$221))
 ), "Y", ""), "")</f>
        <v/>
      </c>
      <c r="I224" s="258" t="str" cm="1">
        <f t="array" ref="I224">IFERROR(IF(AND(
   INDEX(Loans!$K$4:$K$7, MATCH($A224, Loans!$A$4:$A$7, 0))&lt;&gt;"",
   TRIM(INDEX(Loans!$K$4:$K$7, MATCH($A224, Loans!$A$4:$A$7, 0)))
   =TRIM(INDEX('Properties &amp; Ind Income'!$C$3:$C$12, I$221))
 ), "Y", ""), "")</f>
        <v/>
      </c>
      <c r="J224" s="258" t="str" cm="1">
        <f t="array" ref="J224">IFERROR(IF(AND(
   INDEX(Loans!$K$4:$K$7, MATCH($A224, Loans!$A$4:$A$7, 0))&lt;&gt;"",
   TRIM(INDEX(Loans!$K$4:$K$7, MATCH($A224, Loans!$A$4:$A$7, 0)))
   =TRIM(INDEX('Properties &amp; Ind Income'!$C$3:$C$12, J$221))
 ), "Y", ""), "")</f>
        <v/>
      </c>
      <c r="K224" s="258" t="str" cm="1">
        <f t="array" ref="K224">IFERROR(IF(AND(
   INDEX(Loans!$K$4:$K$7, MATCH($A224, Loans!$A$4:$A$7, 0))&lt;&gt;"",
   TRIM(INDEX(Loans!$K$4:$K$7, MATCH($A224, Loans!$A$4:$A$7, 0)))
   =TRIM(INDEX('Properties &amp; Ind Income'!$C$3:$C$12, K$221))
 ), "Y", ""), "")</f>
        <v/>
      </c>
      <c r="L224" s="212">
        <f t="shared" si="61"/>
        <v>0</v>
      </c>
      <c r="M224" s="213">
        <f>SUM(D147:D158)</f>
        <v>0</v>
      </c>
      <c r="O224" s="212" cm="1">
        <f t="array" ref="O224">IF(B224="Y",B$125*$M224/SUMPRODUCT($M$222:$M$225,--(B$222:B$225="Y")),0)</f>
        <v>0</v>
      </c>
      <c r="P224" s="212" cm="1">
        <f t="array" ref="P224">IF(C224="Y",C$125*$M224/SUMPRODUCT($M$222:$M$225,--(C$222:C$225="Y")),0)</f>
        <v>0</v>
      </c>
      <c r="Q224" s="212" cm="1">
        <f t="array" ref="Q224">IF(D224="Y",D$125*$M224/SUMPRODUCT($M$222:$M$225,--(D$222:D$225="Y")),0)</f>
        <v>0</v>
      </c>
      <c r="R224" s="212" cm="1">
        <f t="array" ref="R224">IF(E224="Y",E$125*$M224/SUMPRODUCT($M$222:$M$225,--(E$222:E$225="Y")),0)</f>
        <v>0</v>
      </c>
      <c r="S224" s="212" cm="1">
        <f t="array" ref="S224">IF(F224="Y",F$125*$M224/SUMPRODUCT($M$222:$M$225,--(F$222:F$225="Y")),0)</f>
        <v>0</v>
      </c>
      <c r="T224" s="212" cm="1">
        <f t="array" ref="T224">IF(G224="Y",G$125*$M224/SUMPRODUCT($M$222:$M$225,--(G$222:G$225="Y")),0)</f>
        <v>0</v>
      </c>
      <c r="U224" s="212" cm="1">
        <f t="array" ref="U224">IF(H224="Y",H$125*$M224/SUMPRODUCT($M$222:$M$225,--(H$222:H$225="Y")),0)</f>
        <v>0</v>
      </c>
      <c r="V224" s="212" cm="1">
        <f t="array" ref="V224">IF(I224="Y",I$125*$M224/SUMPRODUCT($M$222:$M$225,--(I$222:I$225="Y")),0)</f>
        <v>0</v>
      </c>
      <c r="W224" s="212" cm="1">
        <f t="array" ref="W224">IF(J224="Y",J$125*$M224/SUMPRODUCT($M$222:$M$225,--(J$222:J$225="Y")),0)</f>
        <v>0</v>
      </c>
      <c r="X224" s="212" cm="1">
        <f t="array" ref="X224">IF(K224="Y",K$125*$M224/SUMPRODUCT($M$222:$M$225,--(K$222:K$225="Y")),0)</f>
        <v>0</v>
      </c>
    </row>
    <row r="225" spans="1:34" ht="13.5" hidden="1" thickBot="1" x14ac:dyDescent="0.25">
      <c r="A225" s="134">
        <f t="shared" si="62"/>
        <v>4</v>
      </c>
      <c r="B225" s="258" t="str" cm="1">
        <f t="array" ref="B225">IFERROR(IF(AND(
   INDEX(Loans!$K$4:$K$7, MATCH($A225, Loans!$A$4:$A$7, 0))&lt;&gt;"",
   TRIM(INDEX(Loans!$K$4:$K$7, MATCH($A225, Loans!$A$4:$A$7, 0)))
   =TRIM(INDEX('Properties &amp; Ind Income'!$C$3:$C$12, B$221))
 ), "Y", ""), "")</f>
        <v/>
      </c>
      <c r="C225" s="258" t="str" cm="1">
        <f t="array" ref="C225">IFERROR(IF(AND(
   INDEX(Loans!$K$4:$K$7, MATCH($A225, Loans!$A$4:$A$7, 0))&lt;&gt;"",
   TRIM(INDEX(Loans!$K$4:$K$7, MATCH($A225, Loans!$A$4:$A$7, 0)))
   =TRIM(INDEX('Properties &amp; Ind Income'!$C$3:$C$12, C$221))
 ), "Y", ""), "")</f>
        <v/>
      </c>
      <c r="D225" s="258" t="str" cm="1">
        <f t="array" ref="D225">IFERROR(IF(AND(
   INDEX(Loans!$K$4:$K$7, MATCH($A225, Loans!$A$4:$A$7, 0))&lt;&gt;"",
   TRIM(INDEX(Loans!$K$4:$K$7, MATCH($A225, Loans!$A$4:$A$7, 0)))
   =TRIM(INDEX('Properties &amp; Ind Income'!$C$3:$C$12, D$221))
 ), "Y", ""), "")</f>
        <v/>
      </c>
      <c r="E225" s="258" t="str" cm="1">
        <f t="array" ref="E225">IFERROR(IF(AND(
   INDEX(Loans!$K$4:$K$7, MATCH($A225, Loans!$A$4:$A$7, 0))&lt;&gt;"",
   TRIM(INDEX(Loans!$K$4:$K$7, MATCH($A225, Loans!$A$4:$A$7, 0)))
   =TRIM(INDEX('Properties &amp; Ind Income'!$C$3:$C$12, E$221))
 ), "Y", ""), "")</f>
        <v/>
      </c>
      <c r="F225" s="258" t="str" cm="1">
        <f t="array" ref="F225">IFERROR(IF(AND(
   INDEX(Loans!$K$4:$K$7, MATCH($A225, Loans!$A$4:$A$7, 0))&lt;&gt;"",
   TRIM(INDEX(Loans!$K$4:$K$7, MATCH($A225, Loans!$A$4:$A$7, 0)))
   =TRIM(INDEX('Properties &amp; Ind Income'!$C$3:$C$12, F$221))
 ), "Y", ""), "")</f>
        <v/>
      </c>
      <c r="G225" s="258" t="str" cm="1">
        <f t="array" ref="G225">IFERROR(IF(AND(
   INDEX(Loans!$K$4:$K$7, MATCH($A225, Loans!$A$4:$A$7, 0))&lt;&gt;"",
   TRIM(INDEX(Loans!$K$4:$K$7, MATCH($A225, Loans!$A$4:$A$7, 0)))
   =TRIM(INDEX('Properties &amp; Ind Income'!$C$3:$C$12, G$221))
 ), "Y", ""), "")</f>
        <v/>
      </c>
      <c r="H225" s="258" t="str" cm="1">
        <f t="array" ref="H225">IFERROR(IF(AND(
   INDEX(Loans!$K$4:$K$7, MATCH($A225, Loans!$A$4:$A$7, 0))&lt;&gt;"",
   TRIM(INDEX(Loans!$K$4:$K$7, MATCH($A225, Loans!$A$4:$A$7, 0)))
   =TRIM(INDEX('Properties &amp; Ind Income'!$C$3:$C$12, H$221))
 ), "Y", ""), "")</f>
        <v/>
      </c>
      <c r="I225" s="258" t="str" cm="1">
        <f t="array" ref="I225">IFERROR(IF(AND(
   INDEX(Loans!$K$4:$K$7, MATCH($A225, Loans!$A$4:$A$7, 0))&lt;&gt;"",
   TRIM(INDEX(Loans!$K$4:$K$7, MATCH($A225, Loans!$A$4:$A$7, 0)))
   =TRIM(INDEX('Properties &amp; Ind Income'!$C$3:$C$12, I$221))
 ), "Y", ""), "")</f>
        <v/>
      </c>
      <c r="J225" s="258" t="str" cm="1">
        <f t="array" ref="J225">IFERROR(IF(AND(
   INDEX(Loans!$K$4:$K$7, MATCH($A225, Loans!$A$4:$A$7, 0))&lt;&gt;"",
   TRIM(INDEX(Loans!$K$4:$K$7, MATCH($A225, Loans!$A$4:$A$7, 0)))
   =TRIM(INDEX('Properties &amp; Ind Income'!$C$3:$C$12, J$221))
 ), "Y", ""), "")</f>
        <v/>
      </c>
      <c r="K225" s="258" t="str" cm="1">
        <f t="array" ref="K225">IFERROR(IF(AND(
   INDEX(Loans!$K$4:$K$7, MATCH($A225, Loans!$A$4:$A$7, 0))&lt;&gt;"",
   TRIM(INDEX(Loans!$K$4:$K$7, MATCH($A225, Loans!$A$4:$A$7, 0)))
   =TRIM(INDEX('Properties &amp; Ind Income'!$C$3:$C$12, K$221))
 ), "Y", ""), "")</f>
        <v/>
      </c>
      <c r="L225" s="212">
        <f t="shared" si="61"/>
        <v>0</v>
      </c>
      <c r="M225" s="213">
        <f>SUM(E147:E158)</f>
        <v>0</v>
      </c>
      <c r="O225" s="212" cm="1">
        <f t="array" ref="O225">IF(B225="Y",B$125*$M225/SUMPRODUCT($M$222:$M$225,--(B$222:B$225="Y")),0)</f>
        <v>0</v>
      </c>
      <c r="P225" s="212" cm="1">
        <f t="array" ref="P225">IF(C225="Y",C$125*$M225/SUMPRODUCT($M$222:$M$225,--(C$222:C$225="Y")),0)</f>
        <v>0</v>
      </c>
      <c r="Q225" s="212" cm="1">
        <f t="array" ref="Q225">IF(D225="Y",D$125*$M225/SUMPRODUCT($M$222:$M$225,--(D$222:D$225="Y")),0)</f>
        <v>0</v>
      </c>
      <c r="R225" s="212" cm="1">
        <f t="array" ref="R225">IF(E225="Y",E$125*$M225/SUMPRODUCT($M$222:$M$225,--(E$222:E$225="Y")),0)</f>
        <v>0</v>
      </c>
      <c r="S225" s="212" cm="1">
        <f t="array" ref="S225">IF(F225="Y",F$125*$M225/SUMPRODUCT($M$222:$M$225,--(F$222:F$225="Y")),0)</f>
        <v>0</v>
      </c>
      <c r="T225" s="212" cm="1">
        <f t="array" ref="T225">IF(G225="Y",G$125*$M225/SUMPRODUCT($M$222:$M$225,--(G$222:G$225="Y")),0)</f>
        <v>0</v>
      </c>
      <c r="U225" s="212" cm="1">
        <f t="array" ref="U225">IF(H225="Y",H$125*$M225/SUMPRODUCT($M$222:$M$225,--(H$222:H$225="Y")),0)</f>
        <v>0</v>
      </c>
      <c r="V225" s="212" cm="1">
        <f t="array" ref="V225">IF(I225="Y",I$125*$M225/SUMPRODUCT($M$222:$M$225,--(I$222:I$225="Y")),0)</f>
        <v>0</v>
      </c>
      <c r="W225" s="212" cm="1">
        <f t="array" ref="W225">IF(J225="Y",J$125*$M225/SUMPRODUCT($M$222:$M$225,--(J$222:J$225="Y")),0)</f>
        <v>0</v>
      </c>
      <c r="X225" s="212" cm="1">
        <f t="array" ref="X225">IF(K225="Y",K$125*$M225/SUMPRODUCT($M$222:$M$225,--(K$222:K$225="Y")),0)</f>
        <v>0</v>
      </c>
    </row>
    <row r="226" spans="1:34" hidden="1" x14ac:dyDescent="0.2">
      <c r="L226" s="212"/>
    </row>
    <row r="227" spans="1:34" ht="13.5" hidden="1" thickTop="1" x14ac:dyDescent="0.2">
      <c r="A227" s="7" t="s">
        <v>129</v>
      </c>
      <c r="B227" s="3">
        <v>1</v>
      </c>
      <c r="C227" s="3">
        <f>B227+1</f>
        <v>2</v>
      </c>
      <c r="D227" s="3">
        <f t="shared" ref="D227:K227" si="63">C227+1</f>
        <v>3</v>
      </c>
      <c r="E227" s="3">
        <f t="shared" si="63"/>
        <v>4</v>
      </c>
      <c r="F227" s="3">
        <f t="shared" si="63"/>
        <v>5</v>
      </c>
      <c r="G227" s="3">
        <f t="shared" si="63"/>
        <v>6</v>
      </c>
      <c r="H227" s="3">
        <f t="shared" si="63"/>
        <v>7</v>
      </c>
      <c r="I227" s="3">
        <f t="shared" si="63"/>
        <v>8</v>
      </c>
      <c r="J227" s="3">
        <f t="shared" si="63"/>
        <v>9</v>
      </c>
      <c r="K227" s="3">
        <f t="shared" si="63"/>
        <v>10</v>
      </c>
      <c r="L227" s="212"/>
      <c r="O227" s="3">
        <v>1</v>
      </c>
      <c r="P227" s="3">
        <f>O227+1</f>
        <v>2</v>
      </c>
      <c r="Q227" s="3">
        <f t="shared" ref="Q227:AH227" si="64">P227+1</f>
        <v>3</v>
      </c>
      <c r="R227" s="3">
        <f t="shared" si="64"/>
        <v>4</v>
      </c>
      <c r="S227" s="3">
        <f t="shared" si="64"/>
        <v>5</v>
      </c>
      <c r="T227" s="3">
        <f t="shared" si="64"/>
        <v>6</v>
      </c>
      <c r="U227" s="3">
        <f t="shared" si="64"/>
        <v>7</v>
      </c>
      <c r="V227" s="3">
        <f t="shared" si="64"/>
        <v>8</v>
      </c>
      <c r="W227" s="3">
        <f t="shared" si="64"/>
        <v>9</v>
      </c>
      <c r="X227" s="3">
        <f t="shared" si="64"/>
        <v>10</v>
      </c>
      <c r="Y227" s="3">
        <f t="shared" si="64"/>
        <v>11</v>
      </c>
      <c r="Z227" s="3">
        <f t="shared" si="64"/>
        <v>12</v>
      </c>
      <c r="AA227" s="3">
        <f t="shared" si="64"/>
        <v>13</v>
      </c>
      <c r="AB227" s="3">
        <f t="shared" si="64"/>
        <v>14</v>
      </c>
      <c r="AC227" s="3">
        <f t="shared" si="64"/>
        <v>15</v>
      </c>
      <c r="AD227" s="3">
        <f t="shared" si="64"/>
        <v>16</v>
      </c>
      <c r="AE227" s="3">
        <f t="shared" si="64"/>
        <v>17</v>
      </c>
      <c r="AF227" s="3">
        <f t="shared" si="64"/>
        <v>18</v>
      </c>
      <c r="AG227" s="3">
        <f t="shared" si="64"/>
        <v>19</v>
      </c>
      <c r="AH227" s="3">
        <f t="shared" si="64"/>
        <v>20</v>
      </c>
    </row>
    <row r="228" spans="1:34" hidden="1" x14ac:dyDescent="0.2">
      <c r="A228" s="118">
        <v>1</v>
      </c>
      <c r="B228" s="258" t="str" cm="1">
        <f t="array" ref="B228">IFERROR(IF(AND(
   INDEX(Loans!$T$4:$T$23, MATCH($A228, Loans!$M$4:$M$23, 0))&lt;&gt;"",
   TRIM(INDEX(Loans!$T$4:$T$23, MATCH($A228, Loans!$M$4:$M$23, 0)))
   =TRIM(INDEX('Properties &amp; Ind Income'!$C$3:$C$12, B$227))
 ), "Y", ""), "")</f>
        <v/>
      </c>
      <c r="C228" s="258" t="str" cm="1">
        <f t="array" ref="C228">IFERROR(IF(AND(
   INDEX(Loans!$T$4:$T$23, MATCH($A228, Loans!$M$4:$M$23, 0))&lt;&gt;"",
   TRIM(INDEX(Loans!$T$4:$T$23, MATCH($A228, Loans!$M$4:$M$23, 0)))
   =TRIM(INDEX('Properties &amp; Ind Income'!$C$3:$C$12, C$227))
 ), "Y", ""), "")</f>
        <v/>
      </c>
      <c r="D228" s="258" t="str" cm="1">
        <f t="array" ref="D228">IFERROR(IF(AND(
   INDEX(Loans!$T$4:$T$23, MATCH($A228, Loans!$M$4:$M$23, 0))&lt;&gt;"",
   TRIM(INDEX(Loans!$T$4:$T$23, MATCH($A228, Loans!$M$4:$M$23, 0)))
   =TRIM(INDEX('Properties &amp; Ind Income'!$C$3:$C$12, D$227))
 ), "Y", ""), "")</f>
        <v/>
      </c>
      <c r="E228" s="258" t="str" cm="1">
        <f t="array" ref="E228">IFERROR(IF(AND(
   INDEX(Loans!$T$4:$T$23, MATCH($A228, Loans!$M$4:$M$23, 0))&lt;&gt;"",
   TRIM(INDEX(Loans!$T$4:$T$23, MATCH($A228, Loans!$M$4:$M$23, 0)))
   =TRIM(INDEX('Properties &amp; Ind Income'!$C$3:$C$12, E$227))
 ), "Y", ""), "")</f>
        <v/>
      </c>
      <c r="F228" s="258" t="str" cm="1">
        <f t="array" ref="F228">IFERROR(IF(AND(
   INDEX(Loans!$T$4:$T$23, MATCH($A228, Loans!$M$4:$M$23, 0))&lt;&gt;"",
   TRIM(INDEX(Loans!$T$4:$T$23, MATCH($A228, Loans!$M$4:$M$23, 0)))
   =TRIM(INDEX('Properties &amp; Ind Income'!$C$3:$C$12, F$227))
 ), "Y", ""), "")</f>
        <v/>
      </c>
      <c r="G228" s="258" t="str" cm="1">
        <f t="array" ref="G228">IFERROR(IF(AND(
   INDEX(Loans!$T$4:$T$23, MATCH($A228, Loans!$M$4:$M$23, 0))&lt;&gt;"",
   TRIM(INDEX(Loans!$T$4:$T$23, MATCH($A228, Loans!$M$4:$M$23, 0)))
   =TRIM(INDEX('Properties &amp; Ind Income'!$C$3:$C$12, G$227))
 ), "Y", ""), "")</f>
        <v/>
      </c>
      <c r="H228" s="258" t="str" cm="1">
        <f t="array" ref="H228">IFERROR(IF(AND(
   INDEX(Loans!$T$4:$T$23, MATCH($A228, Loans!$M$4:$M$23, 0))&lt;&gt;"",
   TRIM(INDEX(Loans!$T$4:$T$23, MATCH($A228, Loans!$M$4:$M$23, 0)))
   =TRIM(INDEX('Properties &amp; Ind Income'!$C$3:$C$12, H$227))
 ), "Y", ""), "")</f>
        <v/>
      </c>
      <c r="I228" s="258" t="str" cm="1">
        <f t="array" ref="I228">IFERROR(IF(AND(
   INDEX(Loans!$T$4:$T$23, MATCH($A228, Loans!$M$4:$M$23, 0))&lt;&gt;"",
   TRIM(INDEX(Loans!$T$4:$T$23, MATCH($A228, Loans!$M$4:$M$23, 0)))
   =TRIM(INDEX('Properties &amp; Ind Income'!$C$3:$C$12, I$227))
 ), "Y", ""), "")</f>
        <v/>
      </c>
      <c r="J228" s="258" t="str" cm="1">
        <f t="array" ref="J228">IFERROR(IF(AND(
   INDEX(Loans!$T$4:$T$23, MATCH($A228, Loans!$M$4:$M$23, 0))&lt;&gt;"",
   TRIM(INDEX(Loans!$T$4:$T$23, MATCH($A228, Loans!$M$4:$M$23, 0)))
   =TRIM(INDEX('Properties &amp; Ind Income'!$C$3:$C$12, J$227))
 ), "Y", ""), "")</f>
        <v/>
      </c>
      <c r="K228" s="258" t="str" cm="1">
        <f t="array" ref="K228">IFERROR(IF(AND(
   INDEX(Loans!$T$4:$T$23, MATCH($A228, Loans!$M$4:$M$23, 0))&lt;&gt;"",
   TRIM(INDEX(Loans!$T$4:$T$23, MATCH($A228, Loans!$M$4:$M$23, 0)))
   =TRIM(INDEX('Properties &amp; Ind Income'!$C$3:$C$12, K$227))
 ), "Y", ""), "")</f>
        <v/>
      </c>
      <c r="L228" s="212">
        <f t="shared" ref="L228:L247" si="65">SUM(O228:X228)</f>
        <v>0</v>
      </c>
      <c r="M228" s="213">
        <f>SUM(F$147:F$158)</f>
        <v>0</v>
      </c>
      <c r="O228" s="212" cm="1">
        <f t="array" ref="O228">IF(B228="Y",B$125*$M228/SUMPRODUCT($M$228:$M$247,--(B$228:B$247="Y")),0)</f>
        <v>0</v>
      </c>
      <c r="P228" s="212" cm="1">
        <f t="array" ref="P228">IF(C228="Y",C$125*$M228/SUMPRODUCT($M$228:$M$247,--(C$228:C$247="Y")),0)</f>
        <v>0</v>
      </c>
      <c r="Q228" s="212" cm="1">
        <f t="array" ref="Q228">IF(D228="Y",D$125*$M228/SUMPRODUCT($M$228:$M$247,--(D$228:D$247="Y")),0)</f>
        <v>0</v>
      </c>
      <c r="R228" s="212" cm="1">
        <f t="array" ref="R228">IF(E228="Y",E$125*$M228/SUMPRODUCT($M$228:$M$247,--(E$228:E$247="Y")),0)</f>
        <v>0</v>
      </c>
      <c r="S228" s="212" cm="1">
        <f t="array" ref="S228">IF(F228="Y",F$125*$M228/SUMPRODUCT($M$228:$M$247,--(F$228:F$247="Y")),0)</f>
        <v>0</v>
      </c>
      <c r="T228" s="212" cm="1">
        <f t="array" ref="T228">IF(G228="Y",G$125*$M228/SUMPRODUCT($M$228:$M$247,--(G$228:G$247="Y")),0)</f>
        <v>0</v>
      </c>
      <c r="U228" s="212" cm="1">
        <f t="array" ref="U228">IF(H228="Y",H$125*$M228/SUMPRODUCT($M$228:$M$247,--(H$228:H$247="Y")),0)</f>
        <v>0</v>
      </c>
      <c r="V228" s="212" cm="1">
        <f t="array" ref="V228">IF(I228="Y",I$125*$M228/SUMPRODUCT($M$228:$M$247,--(I$228:I$247="Y")),0)</f>
        <v>0</v>
      </c>
      <c r="W228" s="212" cm="1">
        <f t="array" ref="W228">IF(J228="Y",J$125*$M228/SUMPRODUCT($M$228:$M$247,--(J$228:J$247="Y")),0)</f>
        <v>0</v>
      </c>
      <c r="X228" s="212" cm="1">
        <f t="array" ref="X228">IF(K228="Y",K$125*$M228/SUMPRODUCT($M$228:$M$247,--(K$228:K$247="Y")),0)</f>
        <v>0</v>
      </c>
      <c r="Y228" s="212" cm="1">
        <f t="array" ref="Y228">IF(L228="Y",L$125*$M228/SUMPRODUCT($M$228:$M$247,--(L$228:L$247="Y")),0)</f>
        <v>0</v>
      </c>
      <c r="Z228" s="212" cm="1">
        <f t="array" ref="Z228">IF(M228="Y",M$125*$M228/SUMPRODUCT($M$228:$M$247,--(M$228:M$247="Y")),0)</f>
        <v>0</v>
      </c>
      <c r="AA228" s="212" cm="1">
        <f t="array" ref="AA228">IF(N228="Y",N$125*$M228/SUMPRODUCT($M$228:$M$247,--(N$228:N$247="Y")),0)</f>
        <v>0</v>
      </c>
      <c r="AB228" s="212" cm="1">
        <f t="array" ref="AB228">IF(O228="Y",O$125*$M228/SUMPRODUCT($M$228:$M$247,--(O$228:O$247="Y")),0)</f>
        <v>0</v>
      </c>
      <c r="AC228" s="212" cm="1">
        <f t="array" ref="AC228">IF(P228="Y",P$125*$M228/SUMPRODUCT($M$228:$M$247,--(P$228:P$247="Y")),0)</f>
        <v>0</v>
      </c>
      <c r="AD228" s="212" cm="1">
        <f t="array" ref="AD228">IF(Q228="Y",Q$125*$M228/SUMPRODUCT($M$228:$M$247,--(Q$228:Q$247="Y")),0)</f>
        <v>0</v>
      </c>
      <c r="AE228" s="212" cm="1">
        <f t="array" ref="AE228">IF(R228="Y",R$125*$M228/SUMPRODUCT($M$228:$M$247,--(R$228:R$247="Y")),0)</f>
        <v>0</v>
      </c>
      <c r="AF228" s="212" cm="1">
        <f t="array" ref="AF228">IF(S228="Y",S$125*$M228/SUMPRODUCT($M$228:$M$247,--(S$228:S$247="Y")),0)</f>
        <v>0</v>
      </c>
      <c r="AG228" s="212" cm="1">
        <f t="array" ref="AG228">IF(T228="Y",T$125*$M228/SUMPRODUCT($M$228:$M$247,--(T$228:T$247="Y")),0)</f>
        <v>0</v>
      </c>
      <c r="AH228" s="212" cm="1">
        <f t="array" ref="AH228">IF(U228="Y",U$125*$M228/SUMPRODUCT($M$228:$M$247,--(U$228:U$247="Y")),0)</f>
        <v>0</v>
      </c>
    </row>
    <row r="229" spans="1:34" hidden="1" x14ac:dyDescent="0.2">
      <c r="A229" s="124">
        <f>A228+1</f>
        <v>2</v>
      </c>
      <c r="B229" s="258" t="str" cm="1">
        <f t="array" ref="B229">IFERROR(IF(AND(
   INDEX(Loans!$T$4:$T$23, MATCH($A229, Loans!$M$4:$M$23, 0))&lt;&gt;"",
   TRIM(INDEX(Loans!$T$4:$T$23, MATCH($A229, Loans!$M$4:$M$23, 0)))
   =TRIM(INDEX('Properties &amp; Ind Income'!$C$3:$C$12, B$227))
 ), "Y", ""), "")</f>
        <v/>
      </c>
      <c r="C229" s="258" t="str" cm="1">
        <f t="array" ref="C229">IFERROR(IF(AND(
   INDEX(Loans!$T$4:$T$23, MATCH($A229, Loans!$M$4:$M$23, 0))&lt;&gt;"",
   TRIM(INDEX(Loans!$T$4:$T$23, MATCH($A229, Loans!$M$4:$M$23, 0)))
   =TRIM(INDEX('Properties &amp; Ind Income'!$C$3:$C$12, C$227))
 ), "Y", ""), "")</f>
        <v/>
      </c>
      <c r="D229" s="258" t="str" cm="1">
        <f t="array" ref="D229">IFERROR(IF(AND(
   INDEX(Loans!$T$4:$T$23, MATCH($A229, Loans!$M$4:$M$23, 0))&lt;&gt;"",
   TRIM(INDEX(Loans!$T$4:$T$23, MATCH($A229, Loans!$M$4:$M$23, 0)))
   =TRIM(INDEX('Properties &amp; Ind Income'!$C$3:$C$12, D$227))
 ), "Y", ""), "")</f>
        <v/>
      </c>
      <c r="E229" s="258" t="str" cm="1">
        <f t="array" ref="E229">IFERROR(IF(AND(
   INDEX(Loans!$T$4:$T$23, MATCH($A229, Loans!$M$4:$M$23, 0))&lt;&gt;"",
   TRIM(INDEX(Loans!$T$4:$T$23, MATCH($A229, Loans!$M$4:$M$23, 0)))
   =TRIM(INDEX('Properties &amp; Ind Income'!$C$3:$C$12, E$227))
 ), "Y", ""), "")</f>
        <v/>
      </c>
      <c r="F229" s="258" t="str" cm="1">
        <f t="array" ref="F229">IFERROR(IF(AND(
   INDEX(Loans!$T$4:$T$23, MATCH($A229, Loans!$M$4:$M$23, 0))&lt;&gt;"",
   TRIM(INDEX(Loans!$T$4:$T$23, MATCH($A229, Loans!$M$4:$M$23, 0)))
   =TRIM(INDEX('Properties &amp; Ind Income'!$C$3:$C$12, F$227))
 ), "Y", ""), "")</f>
        <v/>
      </c>
      <c r="G229" s="258" t="str" cm="1">
        <f t="array" ref="G229">IFERROR(IF(AND(
   INDEX(Loans!$T$4:$T$23, MATCH($A229, Loans!$M$4:$M$23, 0))&lt;&gt;"",
   TRIM(INDEX(Loans!$T$4:$T$23, MATCH($A229, Loans!$M$4:$M$23, 0)))
   =TRIM(INDEX('Properties &amp; Ind Income'!$C$3:$C$12, G$227))
 ), "Y", ""), "")</f>
        <v/>
      </c>
      <c r="H229" s="258" t="str" cm="1">
        <f t="array" ref="H229">IFERROR(IF(AND(
   INDEX(Loans!$T$4:$T$23, MATCH($A229, Loans!$M$4:$M$23, 0))&lt;&gt;"",
   TRIM(INDEX(Loans!$T$4:$T$23, MATCH($A229, Loans!$M$4:$M$23, 0)))
   =TRIM(INDEX('Properties &amp; Ind Income'!$C$3:$C$12, H$227))
 ), "Y", ""), "")</f>
        <v/>
      </c>
      <c r="I229" s="258" t="str" cm="1">
        <f t="array" ref="I229">IFERROR(IF(AND(
   INDEX(Loans!$T$4:$T$23, MATCH($A229, Loans!$M$4:$M$23, 0))&lt;&gt;"",
   TRIM(INDEX(Loans!$T$4:$T$23, MATCH($A229, Loans!$M$4:$M$23, 0)))
   =TRIM(INDEX('Properties &amp; Ind Income'!$C$3:$C$12, I$227))
 ), "Y", ""), "")</f>
        <v/>
      </c>
      <c r="J229" s="258" t="str" cm="1">
        <f t="array" ref="J229">IFERROR(IF(AND(
   INDEX(Loans!$T$4:$T$23, MATCH($A229, Loans!$M$4:$M$23, 0))&lt;&gt;"",
   TRIM(INDEX(Loans!$T$4:$T$23, MATCH($A229, Loans!$M$4:$M$23, 0)))
   =TRIM(INDEX('Properties &amp; Ind Income'!$C$3:$C$12, J$227))
 ), "Y", ""), "")</f>
        <v/>
      </c>
      <c r="K229" s="258" t="str" cm="1">
        <f t="array" ref="K229">IFERROR(IF(AND(
   INDEX(Loans!$T$4:$T$23, MATCH($A229, Loans!$M$4:$M$23, 0))&lt;&gt;"",
   TRIM(INDEX(Loans!$T$4:$T$23, MATCH($A229, Loans!$M$4:$M$23, 0)))
   =TRIM(INDEX('Properties &amp; Ind Income'!$C$3:$C$12, K$227))
 ), "Y", ""), "")</f>
        <v/>
      </c>
      <c r="L229" s="212">
        <f t="shared" si="65"/>
        <v>0</v>
      </c>
      <c r="M229" s="213">
        <f>SUM(G$147:G$158)</f>
        <v>0</v>
      </c>
      <c r="O229" s="212" cm="1">
        <f t="array" ref="O229">IF(B229="Y",B$125*$M229/SUMPRODUCT($M$228:$M$247,--(B$228:B$247="Y")),0)</f>
        <v>0</v>
      </c>
      <c r="P229" s="212" cm="1">
        <f t="array" ref="P229">IF(C229="Y",C$125*$M229/SUMPRODUCT($M$228:$M$247,--(C$228:C$247="Y")),0)</f>
        <v>0</v>
      </c>
      <c r="Q229" s="212" cm="1">
        <f t="array" ref="Q229">IF(D229="Y",D$125*$M229/SUMPRODUCT($M$228:$M$247,--(D$228:D$247="Y")),0)</f>
        <v>0</v>
      </c>
      <c r="R229" s="212" cm="1">
        <f t="array" ref="R229">IF(E229="Y",E$125*$M229/SUMPRODUCT($M$228:$M$247,--(E$228:E$247="Y")),0)</f>
        <v>0</v>
      </c>
      <c r="S229" s="212" cm="1">
        <f t="array" ref="S229">IF(F229="Y",F$125*$M229/SUMPRODUCT($M$228:$M$247,--(F$228:F$247="Y")),0)</f>
        <v>0</v>
      </c>
      <c r="T229" s="212" cm="1">
        <f t="array" ref="T229">IF(G229="Y",G$125*$M229/SUMPRODUCT($M$228:$M$247,--(G$228:G$247="Y")),0)</f>
        <v>0</v>
      </c>
      <c r="U229" s="212" cm="1">
        <f t="array" ref="U229">IF(H229="Y",H$125*$M229/SUMPRODUCT($M$228:$M$247,--(H$228:H$247="Y")),0)</f>
        <v>0</v>
      </c>
      <c r="V229" s="212" cm="1">
        <f t="array" ref="V229">IF(I229="Y",I$125*$M229/SUMPRODUCT($M$228:$M$247,--(I$228:I$247="Y")),0)</f>
        <v>0</v>
      </c>
      <c r="W229" s="212" cm="1">
        <f t="array" ref="W229">IF(J229="Y",J$125*$M229/SUMPRODUCT($M$228:$M$247,--(J$228:J$247="Y")),0)</f>
        <v>0</v>
      </c>
      <c r="X229" s="212" cm="1">
        <f t="array" ref="X229">IF(K229="Y",K$125*$M229/SUMPRODUCT($M$228:$M$247,--(K$228:K$247="Y")),0)</f>
        <v>0</v>
      </c>
      <c r="Y229" s="212" cm="1">
        <f t="array" ref="Y229">IF(L229="Y",L$125*$M229/SUMPRODUCT($M$228:$M$247,--(L$228:L$247="Y")),0)</f>
        <v>0</v>
      </c>
      <c r="Z229" s="212" cm="1">
        <f t="array" ref="Z229">IF(M229="Y",M$125*$M229/SUMPRODUCT($M$228:$M$247,--(M$228:M$247="Y")),0)</f>
        <v>0</v>
      </c>
      <c r="AA229" s="212" cm="1">
        <f t="array" ref="AA229">IF(N229="Y",N$125*$M229/SUMPRODUCT($M$228:$M$247,--(N$228:N$247="Y")),0)</f>
        <v>0</v>
      </c>
      <c r="AB229" s="212" cm="1">
        <f t="array" ref="AB229">IF(O229="Y",O$125*$M229/SUMPRODUCT($M$228:$M$247,--(O$228:O$247="Y")),0)</f>
        <v>0</v>
      </c>
      <c r="AC229" s="212" cm="1">
        <f t="array" ref="AC229">IF(P229="Y",P$125*$M229/SUMPRODUCT($M$228:$M$247,--(P$228:P$247="Y")),0)</f>
        <v>0</v>
      </c>
      <c r="AD229" s="212" cm="1">
        <f t="array" ref="AD229">IF(Q229="Y",Q$125*$M229/SUMPRODUCT($M$228:$M$247,--(Q$228:Q$247="Y")),0)</f>
        <v>0</v>
      </c>
      <c r="AE229" s="212" cm="1">
        <f t="array" ref="AE229">IF(R229="Y",R$125*$M229/SUMPRODUCT($M$228:$M$247,--(R$228:R$247="Y")),0)</f>
        <v>0</v>
      </c>
      <c r="AF229" s="212" cm="1">
        <f t="array" ref="AF229">IF(S229="Y",S$125*$M229/SUMPRODUCT($M$228:$M$247,--(S$228:S$247="Y")),0)</f>
        <v>0</v>
      </c>
      <c r="AG229" s="212" cm="1">
        <f t="array" ref="AG229">IF(T229="Y",T$125*$M229/SUMPRODUCT($M$228:$M$247,--(T$228:T$247="Y")),0)</f>
        <v>0</v>
      </c>
      <c r="AH229" s="212" cm="1">
        <f t="array" ref="AH229">IF(U229="Y",U$125*$M229/SUMPRODUCT($M$228:$M$247,--(U$228:U$247="Y")),0)</f>
        <v>0</v>
      </c>
    </row>
    <row r="230" spans="1:34" hidden="1" x14ac:dyDescent="0.2">
      <c r="A230" s="124">
        <f t="shared" ref="A230:A247" si="66">A229+1</f>
        <v>3</v>
      </c>
      <c r="B230" s="258" t="str" cm="1">
        <f t="array" ref="B230">IFERROR(IF(AND(
   INDEX(Loans!$T$4:$T$23, MATCH($A230, Loans!$M$4:$M$23, 0))&lt;&gt;"",
   TRIM(INDEX(Loans!$T$4:$T$23, MATCH($A230, Loans!$M$4:$M$23, 0)))
   =TRIM(INDEX('Properties &amp; Ind Income'!$C$3:$C$12, B$227))
 ), "Y", ""), "")</f>
        <v/>
      </c>
      <c r="C230" s="258" t="str" cm="1">
        <f t="array" ref="C230">IFERROR(IF(AND(
   INDEX(Loans!$T$4:$T$23, MATCH($A230, Loans!$M$4:$M$23, 0))&lt;&gt;"",
   TRIM(INDEX(Loans!$T$4:$T$23, MATCH($A230, Loans!$M$4:$M$23, 0)))
   =TRIM(INDEX('Properties &amp; Ind Income'!$C$3:$C$12, C$227))
 ), "Y", ""), "")</f>
        <v/>
      </c>
      <c r="D230" s="258" t="str" cm="1">
        <f t="array" ref="D230">IFERROR(IF(AND(
   INDEX(Loans!$T$4:$T$23, MATCH($A230, Loans!$M$4:$M$23, 0))&lt;&gt;"",
   TRIM(INDEX(Loans!$T$4:$T$23, MATCH($A230, Loans!$M$4:$M$23, 0)))
   =TRIM(INDEX('Properties &amp; Ind Income'!$C$3:$C$12, D$227))
 ), "Y", ""), "")</f>
        <v/>
      </c>
      <c r="E230" s="258" t="str" cm="1">
        <f t="array" ref="E230">IFERROR(IF(AND(
   INDEX(Loans!$T$4:$T$23, MATCH($A230, Loans!$M$4:$M$23, 0))&lt;&gt;"",
   TRIM(INDEX(Loans!$T$4:$T$23, MATCH($A230, Loans!$M$4:$M$23, 0)))
   =TRIM(INDEX('Properties &amp; Ind Income'!$C$3:$C$12, E$227))
 ), "Y", ""), "")</f>
        <v/>
      </c>
      <c r="F230" s="258" t="str" cm="1">
        <f t="array" ref="F230">IFERROR(IF(AND(
   INDEX(Loans!$T$4:$T$23, MATCH($A230, Loans!$M$4:$M$23, 0))&lt;&gt;"",
   TRIM(INDEX(Loans!$T$4:$T$23, MATCH($A230, Loans!$M$4:$M$23, 0)))
   =TRIM(INDEX('Properties &amp; Ind Income'!$C$3:$C$12, F$227))
 ), "Y", ""), "")</f>
        <v/>
      </c>
      <c r="G230" s="258" t="str" cm="1">
        <f t="array" ref="G230">IFERROR(IF(AND(
   INDEX(Loans!$T$4:$T$23, MATCH($A230, Loans!$M$4:$M$23, 0))&lt;&gt;"",
   TRIM(INDEX(Loans!$T$4:$T$23, MATCH($A230, Loans!$M$4:$M$23, 0)))
   =TRIM(INDEX('Properties &amp; Ind Income'!$C$3:$C$12, G$227))
 ), "Y", ""), "")</f>
        <v/>
      </c>
      <c r="H230" s="258" t="str" cm="1">
        <f t="array" ref="H230">IFERROR(IF(AND(
   INDEX(Loans!$T$4:$T$23, MATCH($A230, Loans!$M$4:$M$23, 0))&lt;&gt;"",
   TRIM(INDEX(Loans!$T$4:$T$23, MATCH($A230, Loans!$M$4:$M$23, 0)))
   =TRIM(INDEX('Properties &amp; Ind Income'!$C$3:$C$12, H$227))
 ), "Y", ""), "")</f>
        <v/>
      </c>
      <c r="I230" s="258" t="str" cm="1">
        <f t="array" ref="I230">IFERROR(IF(AND(
   INDEX(Loans!$T$4:$T$23, MATCH($A230, Loans!$M$4:$M$23, 0))&lt;&gt;"",
   TRIM(INDEX(Loans!$T$4:$T$23, MATCH($A230, Loans!$M$4:$M$23, 0)))
   =TRIM(INDEX('Properties &amp; Ind Income'!$C$3:$C$12, I$227))
 ), "Y", ""), "")</f>
        <v/>
      </c>
      <c r="J230" s="258" t="str" cm="1">
        <f t="array" ref="J230">IFERROR(IF(AND(
   INDEX(Loans!$T$4:$T$23, MATCH($A230, Loans!$M$4:$M$23, 0))&lt;&gt;"",
   TRIM(INDEX(Loans!$T$4:$T$23, MATCH($A230, Loans!$M$4:$M$23, 0)))
   =TRIM(INDEX('Properties &amp; Ind Income'!$C$3:$C$12, J$227))
 ), "Y", ""), "")</f>
        <v/>
      </c>
      <c r="K230" s="258" t="str" cm="1">
        <f t="array" ref="K230">IFERROR(IF(AND(
   INDEX(Loans!$T$4:$T$23, MATCH($A230, Loans!$M$4:$M$23, 0))&lt;&gt;"",
   TRIM(INDEX(Loans!$T$4:$T$23, MATCH($A230, Loans!$M$4:$M$23, 0)))
   =TRIM(INDEX('Properties &amp; Ind Income'!$C$3:$C$12, K$227))
 ), "Y", ""), "")</f>
        <v/>
      </c>
      <c r="L230" s="212">
        <f t="shared" si="65"/>
        <v>0</v>
      </c>
      <c r="M230" s="213">
        <f>SUM(H$147:H$158)</f>
        <v>0</v>
      </c>
      <c r="O230" s="212" cm="1">
        <f t="array" ref="O230">IF(B230="Y",B$125*$M230/SUMPRODUCT($M$228:$M$247,--(B$228:B$247="Y")),0)</f>
        <v>0</v>
      </c>
      <c r="P230" s="212" cm="1">
        <f t="array" ref="P230">IF(C230="Y",C$125*$M230/SUMPRODUCT($M$228:$M$247,--(C$228:C$247="Y")),0)</f>
        <v>0</v>
      </c>
      <c r="Q230" s="212" cm="1">
        <f t="array" ref="Q230">IF(D230="Y",D$125*$M230/SUMPRODUCT($M$228:$M$247,--(D$228:D$247="Y")),0)</f>
        <v>0</v>
      </c>
      <c r="R230" s="212" cm="1">
        <f t="array" ref="R230">IF(E230="Y",E$125*$M230/SUMPRODUCT($M$228:$M$247,--(E$228:E$247="Y")),0)</f>
        <v>0</v>
      </c>
      <c r="S230" s="212" cm="1">
        <f t="array" ref="S230">IF(F230="Y",F$125*$M230/SUMPRODUCT($M$228:$M$247,--(F$228:F$247="Y")),0)</f>
        <v>0</v>
      </c>
      <c r="T230" s="212" cm="1">
        <f t="array" ref="T230">IF(G230="Y",G$125*$M230/SUMPRODUCT($M$228:$M$247,--(G$228:G$247="Y")),0)</f>
        <v>0</v>
      </c>
      <c r="U230" s="212" cm="1">
        <f t="array" ref="U230">IF(H230="Y",H$125*$M230/SUMPRODUCT($M$228:$M$247,--(H$228:H$247="Y")),0)</f>
        <v>0</v>
      </c>
      <c r="V230" s="212" cm="1">
        <f t="array" ref="V230">IF(I230="Y",I$125*$M230/SUMPRODUCT($M$228:$M$247,--(I$228:I$247="Y")),0)</f>
        <v>0</v>
      </c>
      <c r="W230" s="212" cm="1">
        <f t="array" ref="W230">IF(J230="Y",J$125*$M230/SUMPRODUCT($M$228:$M$247,--(J$228:J$247="Y")),0)</f>
        <v>0</v>
      </c>
      <c r="X230" s="212" cm="1">
        <f t="array" ref="X230">IF(K230="Y",K$125*$M230/SUMPRODUCT($M$228:$M$247,--(K$228:K$247="Y")),0)</f>
        <v>0</v>
      </c>
      <c r="Y230" s="212" cm="1">
        <f t="array" ref="Y230">IF(L230="Y",L$125*$M230/SUMPRODUCT($M$228:$M$247,--(L$228:L$247="Y")),0)</f>
        <v>0</v>
      </c>
      <c r="Z230" s="212" cm="1">
        <f t="array" ref="Z230">IF(M230="Y",M$125*$M230/SUMPRODUCT($M$228:$M$247,--(M$228:M$247="Y")),0)</f>
        <v>0</v>
      </c>
      <c r="AA230" s="212" cm="1">
        <f t="array" ref="AA230">IF(N230="Y",N$125*$M230/SUMPRODUCT($M$228:$M$247,--(N$228:N$247="Y")),0)</f>
        <v>0</v>
      </c>
      <c r="AB230" s="212" cm="1">
        <f t="array" ref="AB230">IF(O230="Y",O$125*$M230/SUMPRODUCT($M$228:$M$247,--(O$228:O$247="Y")),0)</f>
        <v>0</v>
      </c>
      <c r="AC230" s="212" cm="1">
        <f t="array" ref="AC230">IF(P230="Y",P$125*$M230/SUMPRODUCT($M$228:$M$247,--(P$228:P$247="Y")),0)</f>
        <v>0</v>
      </c>
      <c r="AD230" s="212" cm="1">
        <f t="array" ref="AD230">IF(Q230="Y",Q$125*$M230/SUMPRODUCT($M$228:$M$247,--(Q$228:Q$247="Y")),0)</f>
        <v>0</v>
      </c>
      <c r="AE230" s="212" cm="1">
        <f t="array" ref="AE230">IF(R230="Y",R$125*$M230/SUMPRODUCT($M$228:$M$247,--(R$228:R$247="Y")),0)</f>
        <v>0</v>
      </c>
      <c r="AF230" s="212" cm="1">
        <f t="array" ref="AF230">IF(S230="Y",S$125*$M230/SUMPRODUCT($M$228:$M$247,--(S$228:S$247="Y")),0)</f>
        <v>0</v>
      </c>
      <c r="AG230" s="212" cm="1">
        <f t="array" ref="AG230">IF(T230="Y",T$125*$M230/SUMPRODUCT($M$228:$M$247,--(T$228:T$247="Y")),0)</f>
        <v>0</v>
      </c>
      <c r="AH230" s="212" cm="1">
        <f t="array" ref="AH230">IF(U230="Y",U$125*$M230/SUMPRODUCT($M$228:$M$247,--(U$228:U$247="Y")),0)</f>
        <v>0</v>
      </c>
    </row>
    <row r="231" spans="1:34" hidden="1" x14ac:dyDescent="0.2">
      <c r="A231" s="124">
        <f t="shared" si="66"/>
        <v>4</v>
      </c>
      <c r="B231" s="258" t="str" cm="1">
        <f t="array" ref="B231">IFERROR(IF(AND(
   INDEX(Loans!$T$4:$T$23, MATCH($A231, Loans!$M$4:$M$23, 0))&lt;&gt;"",
   TRIM(INDEX(Loans!$T$4:$T$23, MATCH($A231, Loans!$M$4:$M$23, 0)))
   =TRIM(INDEX('Properties &amp; Ind Income'!$C$3:$C$12, B$227))
 ), "Y", ""), "")</f>
        <v/>
      </c>
      <c r="C231" s="258" t="str" cm="1">
        <f t="array" ref="C231">IFERROR(IF(AND(
   INDEX(Loans!$T$4:$T$23, MATCH($A231, Loans!$M$4:$M$23, 0))&lt;&gt;"",
   TRIM(INDEX(Loans!$T$4:$T$23, MATCH($A231, Loans!$M$4:$M$23, 0)))
   =TRIM(INDEX('Properties &amp; Ind Income'!$C$3:$C$12, C$227))
 ), "Y", ""), "")</f>
        <v/>
      </c>
      <c r="D231" s="258" t="str" cm="1">
        <f t="array" ref="D231">IFERROR(IF(AND(
   INDEX(Loans!$T$4:$T$23, MATCH($A231, Loans!$M$4:$M$23, 0))&lt;&gt;"",
   TRIM(INDEX(Loans!$T$4:$T$23, MATCH($A231, Loans!$M$4:$M$23, 0)))
   =TRIM(INDEX('Properties &amp; Ind Income'!$C$3:$C$12, D$227))
 ), "Y", ""), "")</f>
        <v/>
      </c>
      <c r="E231" s="258" t="str" cm="1">
        <f t="array" ref="E231">IFERROR(IF(AND(
   INDEX(Loans!$T$4:$T$23, MATCH($A231, Loans!$M$4:$M$23, 0))&lt;&gt;"",
   TRIM(INDEX(Loans!$T$4:$T$23, MATCH($A231, Loans!$M$4:$M$23, 0)))
   =TRIM(INDEX('Properties &amp; Ind Income'!$C$3:$C$12, E$227))
 ), "Y", ""), "")</f>
        <v/>
      </c>
      <c r="F231" s="258" t="str" cm="1">
        <f t="array" ref="F231">IFERROR(IF(AND(
   INDEX(Loans!$T$4:$T$23, MATCH($A231, Loans!$M$4:$M$23, 0))&lt;&gt;"",
   TRIM(INDEX(Loans!$T$4:$T$23, MATCH($A231, Loans!$M$4:$M$23, 0)))
   =TRIM(INDEX('Properties &amp; Ind Income'!$C$3:$C$12, F$227))
 ), "Y", ""), "")</f>
        <v/>
      </c>
      <c r="G231" s="258" t="str" cm="1">
        <f t="array" ref="G231">IFERROR(IF(AND(
   INDEX(Loans!$T$4:$T$23, MATCH($A231, Loans!$M$4:$M$23, 0))&lt;&gt;"",
   TRIM(INDEX(Loans!$T$4:$T$23, MATCH($A231, Loans!$M$4:$M$23, 0)))
   =TRIM(INDEX('Properties &amp; Ind Income'!$C$3:$C$12, G$227))
 ), "Y", ""), "")</f>
        <v/>
      </c>
      <c r="H231" s="258" t="str" cm="1">
        <f t="array" ref="H231">IFERROR(IF(AND(
   INDEX(Loans!$T$4:$T$23, MATCH($A231, Loans!$M$4:$M$23, 0))&lt;&gt;"",
   TRIM(INDEX(Loans!$T$4:$T$23, MATCH($A231, Loans!$M$4:$M$23, 0)))
   =TRIM(INDEX('Properties &amp; Ind Income'!$C$3:$C$12, H$227))
 ), "Y", ""), "")</f>
        <v/>
      </c>
      <c r="I231" s="258" t="str" cm="1">
        <f t="array" ref="I231">IFERROR(IF(AND(
   INDEX(Loans!$T$4:$T$23, MATCH($A231, Loans!$M$4:$M$23, 0))&lt;&gt;"",
   TRIM(INDEX(Loans!$T$4:$T$23, MATCH($A231, Loans!$M$4:$M$23, 0)))
   =TRIM(INDEX('Properties &amp; Ind Income'!$C$3:$C$12, I$227))
 ), "Y", ""), "")</f>
        <v/>
      </c>
      <c r="J231" s="258" t="str" cm="1">
        <f t="array" ref="J231">IFERROR(IF(AND(
   INDEX(Loans!$T$4:$T$23, MATCH($A231, Loans!$M$4:$M$23, 0))&lt;&gt;"",
   TRIM(INDEX(Loans!$T$4:$T$23, MATCH($A231, Loans!$M$4:$M$23, 0)))
   =TRIM(INDEX('Properties &amp; Ind Income'!$C$3:$C$12, J$227))
 ), "Y", ""), "")</f>
        <v/>
      </c>
      <c r="K231" s="258" t="str" cm="1">
        <f t="array" ref="K231">IFERROR(IF(AND(
   INDEX(Loans!$T$4:$T$23, MATCH($A231, Loans!$M$4:$M$23, 0))&lt;&gt;"",
   TRIM(INDEX(Loans!$T$4:$T$23, MATCH($A231, Loans!$M$4:$M$23, 0)))
   =TRIM(INDEX('Properties &amp; Ind Income'!$C$3:$C$12, K$227))
 ), "Y", ""), "")</f>
        <v/>
      </c>
      <c r="L231" s="212">
        <f t="shared" si="65"/>
        <v>0</v>
      </c>
      <c r="M231" s="213">
        <f>SUM(I$147:I$158)</f>
        <v>0</v>
      </c>
      <c r="O231" s="212" cm="1">
        <f t="array" ref="O231">IF(B231="Y",B$125*$M231/SUMPRODUCT($M$228:$M$247,--(B$228:B$247="Y")),0)</f>
        <v>0</v>
      </c>
      <c r="P231" s="212" cm="1">
        <f t="array" ref="P231">IF(C231="Y",C$125*$M231/SUMPRODUCT($M$228:$M$247,--(C$228:C$247="Y")),0)</f>
        <v>0</v>
      </c>
      <c r="Q231" s="212" cm="1">
        <f t="array" ref="Q231">IF(D231="Y",D$125*$M231/SUMPRODUCT($M$228:$M$247,--(D$228:D$247="Y")),0)</f>
        <v>0</v>
      </c>
      <c r="R231" s="212" cm="1">
        <f t="array" ref="R231">IF(E231="Y",E$125*$M231/SUMPRODUCT($M$228:$M$247,--(E$228:E$247="Y")),0)</f>
        <v>0</v>
      </c>
      <c r="S231" s="212" cm="1">
        <f t="array" ref="S231">IF(F231="Y",F$125*$M231/SUMPRODUCT($M$228:$M$247,--(F$228:F$247="Y")),0)</f>
        <v>0</v>
      </c>
      <c r="T231" s="212" cm="1">
        <f t="array" ref="T231">IF(G231="Y",G$125*$M231/SUMPRODUCT($M$228:$M$247,--(G$228:G$247="Y")),0)</f>
        <v>0</v>
      </c>
      <c r="U231" s="212" cm="1">
        <f t="array" ref="U231">IF(H231="Y",H$125*$M231/SUMPRODUCT($M$228:$M$247,--(H$228:H$247="Y")),0)</f>
        <v>0</v>
      </c>
      <c r="V231" s="212" cm="1">
        <f t="array" ref="V231">IF(I231="Y",I$125*$M231/SUMPRODUCT($M$228:$M$247,--(I$228:I$247="Y")),0)</f>
        <v>0</v>
      </c>
      <c r="W231" s="212" cm="1">
        <f t="array" ref="W231">IF(J231="Y",J$125*$M231/SUMPRODUCT($M$228:$M$247,--(J$228:J$247="Y")),0)</f>
        <v>0</v>
      </c>
      <c r="X231" s="212" cm="1">
        <f t="array" ref="X231">IF(K231="Y",K$125*$M231/SUMPRODUCT($M$228:$M$247,--(K$228:K$247="Y")),0)</f>
        <v>0</v>
      </c>
      <c r="Y231" s="212" cm="1">
        <f t="array" ref="Y231">IF(L231="Y",L$125*$M231/SUMPRODUCT($M$228:$M$247,--(L$228:L$247="Y")),0)</f>
        <v>0</v>
      </c>
      <c r="Z231" s="212" cm="1">
        <f t="array" ref="Z231">IF(M231="Y",M$125*$M231/SUMPRODUCT($M$228:$M$247,--(M$228:M$247="Y")),0)</f>
        <v>0</v>
      </c>
      <c r="AA231" s="212" cm="1">
        <f t="array" ref="AA231">IF(N231="Y",N$125*$M231/SUMPRODUCT($M$228:$M$247,--(N$228:N$247="Y")),0)</f>
        <v>0</v>
      </c>
      <c r="AB231" s="212" cm="1">
        <f t="array" ref="AB231">IF(O231="Y",O$125*$M231/SUMPRODUCT($M$228:$M$247,--(O$228:O$247="Y")),0)</f>
        <v>0</v>
      </c>
      <c r="AC231" s="212" cm="1">
        <f t="array" ref="AC231">IF(P231="Y",P$125*$M231/SUMPRODUCT($M$228:$M$247,--(P$228:P$247="Y")),0)</f>
        <v>0</v>
      </c>
      <c r="AD231" s="212" cm="1">
        <f t="array" ref="AD231">IF(Q231="Y",Q$125*$M231/SUMPRODUCT($M$228:$M$247,--(Q$228:Q$247="Y")),0)</f>
        <v>0</v>
      </c>
      <c r="AE231" s="212" cm="1">
        <f t="array" ref="AE231">IF(R231="Y",R$125*$M231/SUMPRODUCT($M$228:$M$247,--(R$228:R$247="Y")),0)</f>
        <v>0</v>
      </c>
      <c r="AF231" s="212" cm="1">
        <f t="array" ref="AF231">IF(S231="Y",S$125*$M231/SUMPRODUCT($M$228:$M$247,--(S$228:S$247="Y")),0)</f>
        <v>0</v>
      </c>
      <c r="AG231" s="212" cm="1">
        <f t="array" ref="AG231">IF(T231="Y",T$125*$M231/SUMPRODUCT($M$228:$M$247,--(T$228:T$247="Y")),0)</f>
        <v>0</v>
      </c>
      <c r="AH231" s="212" cm="1">
        <f t="array" ref="AH231">IF(U231="Y",U$125*$M231/SUMPRODUCT($M$228:$M$247,--(U$228:U$247="Y")),0)</f>
        <v>0</v>
      </c>
    </row>
    <row r="232" spans="1:34" hidden="1" x14ac:dyDescent="0.2">
      <c r="A232" s="124">
        <f t="shared" si="66"/>
        <v>5</v>
      </c>
      <c r="B232" s="258" t="str" cm="1">
        <f t="array" ref="B232">IFERROR(IF(AND(
   INDEX(Loans!$T$4:$T$23, MATCH($A232, Loans!$M$4:$M$23, 0))&lt;&gt;"",
   TRIM(INDEX(Loans!$T$4:$T$23, MATCH($A232, Loans!$M$4:$M$23, 0)))
   =TRIM(INDEX('Properties &amp; Ind Income'!$C$3:$C$12, B$227))
 ), "Y", ""), "")</f>
        <v/>
      </c>
      <c r="C232" s="258" t="str" cm="1">
        <f t="array" ref="C232">IFERROR(IF(AND(
   INDEX(Loans!$T$4:$T$23, MATCH($A232, Loans!$M$4:$M$23, 0))&lt;&gt;"",
   TRIM(INDEX(Loans!$T$4:$T$23, MATCH($A232, Loans!$M$4:$M$23, 0)))
   =TRIM(INDEX('Properties &amp; Ind Income'!$C$3:$C$12, C$227))
 ), "Y", ""), "")</f>
        <v/>
      </c>
      <c r="D232" s="258" t="str" cm="1">
        <f t="array" ref="D232">IFERROR(IF(AND(
   INDEX(Loans!$T$4:$T$23, MATCH($A232, Loans!$M$4:$M$23, 0))&lt;&gt;"",
   TRIM(INDEX(Loans!$T$4:$T$23, MATCH($A232, Loans!$M$4:$M$23, 0)))
   =TRIM(INDEX('Properties &amp; Ind Income'!$C$3:$C$12, D$227))
 ), "Y", ""), "")</f>
        <v/>
      </c>
      <c r="E232" s="258" t="str" cm="1">
        <f t="array" ref="E232">IFERROR(IF(AND(
   INDEX(Loans!$T$4:$T$23, MATCH($A232, Loans!$M$4:$M$23, 0))&lt;&gt;"",
   TRIM(INDEX(Loans!$T$4:$T$23, MATCH($A232, Loans!$M$4:$M$23, 0)))
   =TRIM(INDEX('Properties &amp; Ind Income'!$C$3:$C$12, E$227))
 ), "Y", ""), "")</f>
        <v/>
      </c>
      <c r="F232" s="258" t="str" cm="1">
        <f t="array" ref="F232">IFERROR(IF(AND(
   INDEX(Loans!$T$4:$T$23, MATCH($A232, Loans!$M$4:$M$23, 0))&lt;&gt;"",
   TRIM(INDEX(Loans!$T$4:$T$23, MATCH($A232, Loans!$M$4:$M$23, 0)))
   =TRIM(INDEX('Properties &amp; Ind Income'!$C$3:$C$12, F$227))
 ), "Y", ""), "")</f>
        <v/>
      </c>
      <c r="G232" s="258" t="str" cm="1">
        <f t="array" ref="G232">IFERROR(IF(AND(
   INDEX(Loans!$T$4:$T$23, MATCH($A232, Loans!$M$4:$M$23, 0))&lt;&gt;"",
   TRIM(INDEX(Loans!$T$4:$T$23, MATCH($A232, Loans!$M$4:$M$23, 0)))
   =TRIM(INDEX('Properties &amp; Ind Income'!$C$3:$C$12, G$227))
 ), "Y", ""), "")</f>
        <v/>
      </c>
      <c r="H232" s="258" t="str" cm="1">
        <f t="array" ref="H232">IFERROR(IF(AND(
   INDEX(Loans!$T$4:$T$23, MATCH($A232, Loans!$M$4:$M$23, 0))&lt;&gt;"",
   TRIM(INDEX(Loans!$T$4:$T$23, MATCH($A232, Loans!$M$4:$M$23, 0)))
   =TRIM(INDEX('Properties &amp; Ind Income'!$C$3:$C$12, H$227))
 ), "Y", ""), "")</f>
        <v/>
      </c>
      <c r="I232" s="258" t="str" cm="1">
        <f t="array" ref="I232">IFERROR(IF(AND(
   INDEX(Loans!$T$4:$T$23, MATCH($A232, Loans!$M$4:$M$23, 0))&lt;&gt;"",
   TRIM(INDEX(Loans!$T$4:$T$23, MATCH($A232, Loans!$M$4:$M$23, 0)))
   =TRIM(INDEX('Properties &amp; Ind Income'!$C$3:$C$12, I$227))
 ), "Y", ""), "")</f>
        <v/>
      </c>
      <c r="J232" s="258" t="str" cm="1">
        <f t="array" ref="J232">IFERROR(IF(AND(
   INDEX(Loans!$T$4:$T$23, MATCH($A232, Loans!$M$4:$M$23, 0))&lt;&gt;"",
   TRIM(INDEX(Loans!$T$4:$T$23, MATCH($A232, Loans!$M$4:$M$23, 0)))
   =TRIM(INDEX('Properties &amp; Ind Income'!$C$3:$C$12, J$227))
 ), "Y", ""), "")</f>
        <v/>
      </c>
      <c r="K232" s="258" t="str" cm="1">
        <f t="array" ref="K232">IFERROR(IF(AND(
   INDEX(Loans!$T$4:$T$23, MATCH($A232, Loans!$M$4:$M$23, 0))&lt;&gt;"",
   TRIM(INDEX(Loans!$T$4:$T$23, MATCH($A232, Loans!$M$4:$M$23, 0)))
   =TRIM(INDEX('Properties &amp; Ind Income'!$C$3:$C$12, K$227))
 ), "Y", ""), "")</f>
        <v/>
      </c>
      <c r="L232" s="212">
        <f t="shared" si="65"/>
        <v>0</v>
      </c>
      <c r="M232" s="213">
        <f>SUM(J$147:J$158)</f>
        <v>0</v>
      </c>
      <c r="O232" s="212" cm="1">
        <f t="array" ref="O232">IF(B232="Y",B$125*$M232/SUMPRODUCT($M$228:$M$247,--(B$228:B$247="Y")),0)</f>
        <v>0</v>
      </c>
      <c r="P232" s="212" cm="1">
        <f t="array" ref="P232">IF(C232="Y",C$125*$M232/SUMPRODUCT($M$228:$M$247,--(C$228:C$247="Y")),0)</f>
        <v>0</v>
      </c>
      <c r="Q232" s="212" cm="1">
        <f t="array" ref="Q232">IF(D232="Y",D$125*$M232/SUMPRODUCT($M$228:$M$247,--(D$228:D$247="Y")),0)</f>
        <v>0</v>
      </c>
      <c r="R232" s="212" cm="1">
        <f t="array" ref="R232">IF(E232="Y",E$125*$M232/SUMPRODUCT($M$228:$M$247,--(E$228:E$247="Y")),0)</f>
        <v>0</v>
      </c>
      <c r="S232" s="212" cm="1">
        <f t="array" ref="S232">IF(F232="Y",F$125*$M232/SUMPRODUCT($M$228:$M$247,--(F$228:F$247="Y")),0)</f>
        <v>0</v>
      </c>
      <c r="T232" s="212" cm="1">
        <f t="array" ref="T232">IF(G232="Y",G$125*$M232/SUMPRODUCT($M$228:$M$247,--(G$228:G$247="Y")),0)</f>
        <v>0</v>
      </c>
      <c r="U232" s="212" cm="1">
        <f t="array" ref="U232">IF(H232="Y",H$125*$M232/SUMPRODUCT($M$228:$M$247,--(H$228:H$247="Y")),0)</f>
        <v>0</v>
      </c>
      <c r="V232" s="212" cm="1">
        <f t="array" ref="V232">IF(I232="Y",I$125*$M232/SUMPRODUCT($M$228:$M$247,--(I$228:I$247="Y")),0)</f>
        <v>0</v>
      </c>
      <c r="W232" s="212" cm="1">
        <f t="array" ref="W232">IF(J232="Y",J$125*$M232/SUMPRODUCT($M$228:$M$247,--(J$228:J$247="Y")),0)</f>
        <v>0</v>
      </c>
      <c r="X232" s="212" cm="1">
        <f t="array" ref="X232">IF(K232="Y",K$125*$M232/SUMPRODUCT($M$228:$M$247,--(K$228:K$247="Y")),0)</f>
        <v>0</v>
      </c>
      <c r="Y232" s="212" cm="1">
        <f t="array" ref="Y232">IF(L232="Y",L$125*$M232/SUMPRODUCT($M$228:$M$247,--(L$228:L$247="Y")),0)</f>
        <v>0</v>
      </c>
      <c r="Z232" s="212" cm="1">
        <f t="array" ref="Z232">IF(M232="Y",M$125*$M232/SUMPRODUCT($M$228:$M$247,--(M$228:M$247="Y")),0)</f>
        <v>0</v>
      </c>
      <c r="AA232" s="212" cm="1">
        <f t="array" ref="AA232">IF(N232="Y",N$125*$M232/SUMPRODUCT($M$228:$M$247,--(N$228:N$247="Y")),0)</f>
        <v>0</v>
      </c>
      <c r="AB232" s="212" cm="1">
        <f t="array" ref="AB232">IF(O232="Y",O$125*$M232/SUMPRODUCT($M$228:$M$247,--(O$228:O$247="Y")),0)</f>
        <v>0</v>
      </c>
      <c r="AC232" s="212" cm="1">
        <f t="array" ref="AC232">IF(P232="Y",P$125*$M232/SUMPRODUCT($M$228:$M$247,--(P$228:P$247="Y")),0)</f>
        <v>0</v>
      </c>
      <c r="AD232" s="212" cm="1">
        <f t="array" ref="AD232">IF(Q232="Y",Q$125*$M232/SUMPRODUCT($M$228:$M$247,--(Q$228:Q$247="Y")),0)</f>
        <v>0</v>
      </c>
      <c r="AE232" s="212" cm="1">
        <f t="array" ref="AE232">IF(R232="Y",R$125*$M232/SUMPRODUCT($M$228:$M$247,--(R$228:R$247="Y")),0)</f>
        <v>0</v>
      </c>
      <c r="AF232" s="212" cm="1">
        <f t="array" ref="AF232">IF(S232="Y",S$125*$M232/SUMPRODUCT($M$228:$M$247,--(S$228:S$247="Y")),0)</f>
        <v>0</v>
      </c>
      <c r="AG232" s="212" cm="1">
        <f t="array" ref="AG232">IF(T232="Y",T$125*$M232/SUMPRODUCT($M$228:$M$247,--(T$228:T$247="Y")),0)</f>
        <v>0</v>
      </c>
      <c r="AH232" s="212" cm="1">
        <f t="array" ref="AH232">IF(U232="Y",U$125*$M232/SUMPRODUCT($M$228:$M$247,--(U$228:U$247="Y")),0)</f>
        <v>0</v>
      </c>
    </row>
    <row r="233" spans="1:34" hidden="1" x14ac:dyDescent="0.2">
      <c r="A233" s="124">
        <f t="shared" si="66"/>
        <v>6</v>
      </c>
      <c r="B233" s="258" t="str" cm="1">
        <f t="array" ref="B233">IFERROR(IF(AND(
   INDEX(Loans!$T$4:$T$23, MATCH($A233, Loans!$M$4:$M$23, 0))&lt;&gt;"",
   TRIM(INDEX(Loans!$T$4:$T$23, MATCH($A233, Loans!$M$4:$M$23, 0)))
   =TRIM(INDEX('Properties &amp; Ind Income'!$C$3:$C$12, B$227))
 ), "Y", ""), "")</f>
        <v/>
      </c>
      <c r="C233" s="258" t="str" cm="1">
        <f t="array" ref="C233">IFERROR(IF(AND(
   INDEX(Loans!$T$4:$T$23, MATCH($A233, Loans!$M$4:$M$23, 0))&lt;&gt;"",
   TRIM(INDEX(Loans!$T$4:$T$23, MATCH($A233, Loans!$M$4:$M$23, 0)))
   =TRIM(INDEX('Properties &amp; Ind Income'!$C$3:$C$12, C$227))
 ), "Y", ""), "")</f>
        <v/>
      </c>
      <c r="D233" s="258" t="str" cm="1">
        <f t="array" ref="D233">IFERROR(IF(AND(
   INDEX(Loans!$T$4:$T$23, MATCH($A233, Loans!$M$4:$M$23, 0))&lt;&gt;"",
   TRIM(INDEX(Loans!$T$4:$T$23, MATCH($A233, Loans!$M$4:$M$23, 0)))
   =TRIM(INDEX('Properties &amp; Ind Income'!$C$3:$C$12, D$227))
 ), "Y", ""), "")</f>
        <v/>
      </c>
      <c r="E233" s="258" t="str" cm="1">
        <f t="array" ref="E233">IFERROR(IF(AND(
   INDEX(Loans!$T$4:$T$23, MATCH($A233, Loans!$M$4:$M$23, 0))&lt;&gt;"",
   TRIM(INDEX(Loans!$T$4:$T$23, MATCH($A233, Loans!$M$4:$M$23, 0)))
   =TRIM(INDEX('Properties &amp; Ind Income'!$C$3:$C$12, E$227))
 ), "Y", ""), "")</f>
        <v/>
      </c>
      <c r="F233" s="258" t="str" cm="1">
        <f t="array" ref="F233">IFERROR(IF(AND(
   INDEX(Loans!$T$4:$T$23, MATCH($A233, Loans!$M$4:$M$23, 0))&lt;&gt;"",
   TRIM(INDEX(Loans!$T$4:$T$23, MATCH($A233, Loans!$M$4:$M$23, 0)))
   =TRIM(INDEX('Properties &amp; Ind Income'!$C$3:$C$12, F$227))
 ), "Y", ""), "")</f>
        <v/>
      </c>
      <c r="G233" s="258" t="str" cm="1">
        <f t="array" ref="G233">IFERROR(IF(AND(
   INDEX(Loans!$T$4:$T$23, MATCH($A233, Loans!$M$4:$M$23, 0))&lt;&gt;"",
   TRIM(INDEX(Loans!$T$4:$T$23, MATCH($A233, Loans!$M$4:$M$23, 0)))
   =TRIM(INDEX('Properties &amp; Ind Income'!$C$3:$C$12, G$227))
 ), "Y", ""), "")</f>
        <v/>
      </c>
      <c r="H233" s="258" t="str" cm="1">
        <f t="array" ref="H233">IFERROR(IF(AND(
   INDEX(Loans!$T$4:$T$23, MATCH($A233, Loans!$M$4:$M$23, 0))&lt;&gt;"",
   TRIM(INDEX(Loans!$T$4:$T$23, MATCH($A233, Loans!$M$4:$M$23, 0)))
   =TRIM(INDEX('Properties &amp; Ind Income'!$C$3:$C$12, H$227))
 ), "Y", ""), "")</f>
        <v/>
      </c>
      <c r="I233" s="258" t="str" cm="1">
        <f t="array" ref="I233">IFERROR(IF(AND(
   INDEX(Loans!$T$4:$T$23, MATCH($A233, Loans!$M$4:$M$23, 0))&lt;&gt;"",
   TRIM(INDEX(Loans!$T$4:$T$23, MATCH($A233, Loans!$M$4:$M$23, 0)))
   =TRIM(INDEX('Properties &amp; Ind Income'!$C$3:$C$12, I$227))
 ), "Y", ""), "")</f>
        <v/>
      </c>
      <c r="J233" s="258" t="str" cm="1">
        <f t="array" ref="J233">IFERROR(IF(AND(
   INDEX(Loans!$T$4:$T$23, MATCH($A233, Loans!$M$4:$M$23, 0))&lt;&gt;"",
   TRIM(INDEX(Loans!$T$4:$T$23, MATCH($A233, Loans!$M$4:$M$23, 0)))
   =TRIM(INDEX('Properties &amp; Ind Income'!$C$3:$C$12, J$227))
 ), "Y", ""), "")</f>
        <v/>
      </c>
      <c r="K233" s="258" t="str" cm="1">
        <f t="array" ref="K233">IFERROR(IF(AND(
   INDEX(Loans!$T$4:$T$23, MATCH($A233, Loans!$M$4:$M$23, 0))&lt;&gt;"",
   TRIM(INDEX(Loans!$T$4:$T$23, MATCH($A233, Loans!$M$4:$M$23, 0)))
   =TRIM(INDEX('Properties &amp; Ind Income'!$C$3:$C$12, K$227))
 ), "Y", ""), "")</f>
        <v/>
      </c>
      <c r="L233" s="212">
        <f t="shared" si="65"/>
        <v>0</v>
      </c>
      <c r="M233" s="213">
        <f>SUM(K$147:K$158)</f>
        <v>0</v>
      </c>
      <c r="O233" s="212" cm="1">
        <f t="array" ref="O233">IF(B233="Y",B$125*$M233/SUMPRODUCT($M$228:$M$247,--(B$228:B$247="Y")),0)</f>
        <v>0</v>
      </c>
      <c r="P233" s="212" cm="1">
        <f t="array" ref="P233">IF(C233="Y",C$125*$M233/SUMPRODUCT($M$228:$M$247,--(C$228:C$247="Y")),0)</f>
        <v>0</v>
      </c>
      <c r="Q233" s="212" cm="1">
        <f t="array" ref="Q233">IF(D233="Y",D$125*$M233/SUMPRODUCT($M$228:$M$247,--(D$228:D$247="Y")),0)</f>
        <v>0</v>
      </c>
      <c r="R233" s="212" cm="1">
        <f t="array" ref="R233">IF(E233="Y",E$125*$M233/SUMPRODUCT($M$228:$M$247,--(E$228:E$247="Y")),0)</f>
        <v>0</v>
      </c>
      <c r="S233" s="212" cm="1">
        <f t="array" ref="S233">IF(F233="Y",F$125*$M233/SUMPRODUCT($M$228:$M$247,--(F$228:F$247="Y")),0)</f>
        <v>0</v>
      </c>
      <c r="T233" s="212" cm="1">
        <f t="array" ref="T233">IF(G233="Y",G$125*$M233/SUMPRODUCT($M$228:$M$247,--(G$228:G$247="Y")),0)</f>
        <v>0</v>
      </c>
      <c r="U233" s="212" cm="1">
        <f t="array" ref="U233">IF(H233="Y",H$125*$M233/SUMPRODUCT($M$228:$M$247,--(H$228:H$247="Y")),0)</f>
        <v>0</v>
      </c>
      <c r="V233" s="212" cm="1">
        <f t="array" ref="V233">IF(I233="Y",I$125*$M233/SUMPRODUCT($M$228:$M$247,--(I$228:I$247="Y")),0)</f>
        <v>0</v>
      </c>
      <c r="W233" s="212" cm="1">
        <f t="array" ref="W233">IF(J233="Y",J$125*$M233/SUMPRODUCT($M$228:$M$247,--(J$228:J$247="Y")),0)</f>
        <v>0</v>
      </c>
      <c r="X233" s="212" cm="1">
        <f t="array" ref="X233">IF(K233="Y",K$125*$M233/SUMPRODUCT($M$228:$M$247,--(K$228:K$247="Y")),0)</f>
        <v>0</v>
      </c>
      <c r="Y233" s="212" cm="1">
        <f t="array" ref="Y233">IF(L233="Y",L$125*$M233/SUMPRODUCT($M$228:$M$247,--(L$228:L$247="Y")),0)</f>
        <v>0</v>
      </c>
      <c r="Z233" s="212" cm="1">
        <f t="array" ref="Z233">IF(M233="Y",M$125*$M233/SUMPRODUCT($M$228:$M$247,--(M$228:M$247="Y")),0)</f>
        <v>0</v>
      </c>
      <c r="AA233" s="212" cm="1">
        <f t="array" ref="AA233">IF(N233="Y",N$125*$M233/SUMPRODUCT($M$228:$M$247,--(N$228:N$247="Y")),0)</f>
        <v>0</v>
      </c>
      <c r="AB233" s="212" cm="1">
        <f t="array" ref="AB233">IF(O233="Y",O$125*$M233/SUMPRODUCT($M$228:$M$247,--(O$228:O$247="Y")),0)</f>
        <v>0</v>
      </c>
      <c r="AC233" s="212" cm="1">
        <f t="array" ref="AC233">IF(P233="Y",P$125*$M233/SUMPRODUCT($M$228:$M$247,--(P$228:P$247="Y")),0)</f>
        <v>0</v>
      </c>
      <c r="AD233" s="212" cm="1">
        <f t="array" ref="AD233">IF(Q233="Y",Q$125*$M233/SUMPRODUCT($M$228:$M$247,--(Q$228:Q$247="Y")),0)</f>
        <v>0</v>
      </c>
      <c r="AE233" s="212" cm="1">
        <f t="array" ref="AE233">IF(R233="Y",R$125*$M233/SUMPRODUCT($M$228:$M$247,--(R$228:R$247="Y")),0)</f>
        <v>0</v>
      </c>
      <c r="AF233" s="212" cm="1">
        <f t="array" ref="AF233">IF(S233="Y",S$125*$M233/SUMPRODUCT($M$228:$M$247,--(S$228:S$247="Y")),0)</f>
        <v>0</v>
      </c>
      <c r="AG233" s="212" cm="1">
        <f t="array" ref="AG233">IF(T233="Y",T$125*$M233/SUMPRODUCT($M$228:$M$247,--(T$228:T$247="Y")),0)</f>
        <v>0</v>
      </c>
      <c r="AH233" s="212" cm="1">
        <f t="array" ref="AH233">IF(U233="Y",U$125*$M233/SUMPRODUCT($M$228:$M$247,--(U$228:U$247="Y")),0)</f>
        <v>0</v>
      </c>
    </row>
    <row r="234" spans="1:34" hidden="1" x14ac:dyDescent="0.2">
      <c r="A234" s="124">
        <f t="shared" si="66"/>
        <v>7</v>
      </c>
      <c r="B234" s="258" t="str" cm="1">
        <f t="array" ref="B234">IFERROR(IF(AND(
   INDEX(Loans!$T$4:$T$23, MATCH($A234, Loans!$M$4:$M$23, 0))&lt;&gt;"",
   TRIM(INDEX(Loans!$T$4:$T$23, MATCH($A234, Loans!$M$4:$M$23, 0)))
   =TRIM(INDEX('Properties &amp; Ind Income'!$C$3:$C$12, B$227))
 ), "Y", ""), "")</f>
        <v/>
      </c>
      <c r="C234" s="258" t="str" cm="1">
        <f t="array" ref="C234">IFERROR(IF(AND(
   INDEX(Loans!$T$4:$T$23, MATCH($A234, Loans!$M$4:$M$23, 0))&lt;&gt;"",
   TRIM(INDEX(Loans!$T$4:$T$23, MATCH($A234, Loans!$M$4:$M$23, 0)))
   =TRIM(INDEX('Properties &amp; Ind Income'!$C$3:$C$12, C$227))
 ), "Y", ""), "")</f>
        <v/>
      </c>
      <c r="D234" s="258" t="str" cm="1">
        <f t="array" ref="D234">IFERROR(IF(AND(
   INDEX(Loans!$T$4:$T$23, MATCH($A234, Loans!$M$4:$M$23, 0))&lt;&gt;"",
   TRIM(INDEX(Loans!$T$4:$T$23, MATCH($A234, Loans!$M$4:$M$23, 0)))
   =TRIM(INDEX('Properties &amp; Ind Income'!$C$3:$C$12, D$227))
 ), "Y", ""), "")</f>
        <v/>
      </c>
      <c r="E234" s="258" t="str" cm="1">
        <f t="array" ref="E234">IFERROR(IF(AND(
   INDEX(Loans!$T$4:$T$23, MATCH($A234, Loans!$M$4:$M$23, 0))&lt;&gt;"",
   TRIM(INDEX(Loans!$T$4:$T$23, MATCH($A234, Loans!$M$4:$M$23, 0)))
   =TRIM(INDEX('Properties &amp; Ind Income'!$C$3:$C$12, E$227))
 ), "Y", ""), "")</f>
        <v/>
      </c>
      <c r="F234" s="258" t="str" cm="1">
        <f t="array" ref="F234">IFERROR(IF(AND(
   INDEX(Loans!$T$4:$T$23, MATCH($A234, Loans!$M$4:$M$23, 0))&lt;&gt;"",
   TRIM(INDEX(Loans!$T$4:$T$23, MATCH($A234, Loans!$M$4:$M$23, 0)))
   =TRIM(INDEX('Properties &amp; Ind Income'!$C$3:$C$12, F$227))
 ), "Y", ""), "")</f>
        <v/>
      </c>
      <c r="G234" s="258" t="str" cm="1">
        <f t="array" ref="G234">IFERROR(IF(AND(
   INDEX(Loans!$T$4:$T$23, MATCH($A234, Loans!$M$4:$M$23, 0))&lt;&gt;"",
   TRIM(INDEX(Loans!$T$4:$T$23, MATCH($A234, Loans!$M$4:$M$23, 0)))
   =TRIM(INDEX('Properties &amp; Ind Income'!$C$3:$C$12, G$227))
 ), "Y", ""), "")</f>
        <v/>
      </c>
      <c r="H234" s="258" t="str" cm="1">
        <f t="array" ref="H234">IFERROR(IF(AND(
   INDEX(Loans!$T$4:$T$23, MATCH($A234, Loans!$M$4:$M$23, 0))&lt;&gt;"",
   TRIM(INDEX(Loans!$T$4:$T$23, MATCH($A234, Loans!$M$4:$M$23, 0)))
   =TRIM(INDEX('Properties &amp; Ind Income'!$C$3:$C$12, H$227))
 ), "Y", ""), "")</f>
        <v/>
      </c>
      <c r="I234" s="258" t="str" cm="1">
        <f t="array" ref="I234">IFERROR(IF(AND(
   INDEX(Loans!$T$4:$T$23, MATCH($A234, Loans!$M$4:$M$23, 0))&lt;&gt;"",
   TRIM(INDEX(Loans!$T$4:$T$23, MATCH($A234, Loans!$M$4:$M$23, 0)))
   =TRIM(INDEX('Properties &amp; Ind Income'!$C$3:$C$12, I$227))
 ), "Y", ""), "")</f>
        <v/>
      </c>
      <c r="J234" s="258" t="str" cm="1">
        <f t="array" ref="J234">IFERROR(IF(AND(
   INDEX(Loans!$T$4:$T$23, MATCH($A234, Loans!$M$4:$M$23, 0))&lt;&gt;"",
   TRIM(INDEX(Loans!$T$4:$T$23, MATCH($A234, Loans!$M$4:$M$23, 0)))
   =TRIM(INDEX('Properties &amp; Ind Income'!$C$3:$C$12, J$227))
 ), "Y", ""), "")</f>
        <v/>
      </c>
      <c r="K234" s="258" t="str" cm="1">
        <f t="array" ref="K234">IFERROR(IF(AND(
   INDEX(Loans!$T$4:$T$23, MATCH($A234, Loans!$M$4:$M$23, 0))&lt;&gt;"",
   TRIM(INDEX(Loans!$T$4:$T$23, MATCH($A234, Loans!$M$4:$M$23, 0)))
   =TRIM(INDEX('Properties &amp; Ind Income'!$C$3:$C$12, K$227))
 ), "Y", ""), "")</f>
        <v/>
      </c>
      <c r="L234" s="212">
        <f t="shared" si="65"/>
        <v>0</v>
      </c>
      <c r="M234" s="213">
        <f>SUM(L$147:L$158)</f>
        <v>0</v>
      </c>
      <c r="O234" s="212" cm="1">
        <f t="array" ref="O234">IF(B234="Y",B$125*$M234/SUMPRODUCT($M$228:$M$247,--(B$228:B$247="Y")),0)</f>
        <v>0</v>
      </c>
      <c r="P234" s="212" cm="1">
        <f t="array" ref="P234">IF(C234="Y",C$125*$M234/SUMPRODUCT($M$228:$M$247,--(C$228:C$247="Y")),0)</f>
        <v>0</v>
      </c>
      <c r="Q234" s="212" cm="1">
        <f t="array" ref="Q234">IF(D234="Y",D$125*$M234/SUMPRODUCT($M$228:$M$247,--(D$228:D$247="Y")),0)</f>
        <v>0</v>
      </c>
      <c r="R234" s="212" cm="1">
        <f t="array" ref="R234">IF(E234="Y",E$125*$M234/SUMPRODUCT($M$228:$M$247,--(E$228:E$247="Y")),0)</f>
        <v>0</v>
      </c>
      <c r="S234" s="212" cm="1">
        <f t="array" ref="S234">IF(F234="Y",F$125*$M234/SUMPRODUCT($M$228:$M$247,--(F$228:F$247="Y")),0)</f>
        <v>0</v>
      </c>
      <c r="T234" s="212" cm="1">
        <f t="array" ref="T234">IF(G234="Y",G$125*$M234/SUMPRODUCT($M$228:$M$247,--(G$228:G$247="Y")),0)</f>
        <v>0</v>
      </c>
      <c r="U234" s="212" cm="1">
        <f t="array" ref="U234">IF(H234="Y",H$125*$M234/SUMPRODUCT($M$228:$M$247,--(H$228:H$247="Y")),0)</f>
        <v>0</v>
      </c>
      <c r="V234" s="212" cm="1">
        <f t="array" ref="V234">IF(I234="Y",I$125*$M234/SUMPRODUCT($M$228:$M$247,--(I$228:I$247="Y")),0)</f>
        <v>0</v>
      </c>
      <c r="W234" s="212" cm="1">
        <f t="array" ref="W234">IF(J234="Y",J$125*$M234/SUMPRODUCT($M$228:$M$247,--(J$228:J$247="Y")),0)</f>
        <v>0</v>
      </c>
      <c r="X234" s="212" cm="1">
        <f t="array" ref="X234">IF(K234="Y",K$125*$M234/SUMPRODUCT($M$228:$M$247,--(K$228:K$247="Y")),0)</f>
        <v>0</v>
      </c>
      <c r="Y234" s="212" cm="1">
        <f t="array" ref="Y234">IF(L234="Y",L$125*$M234/SUMPRODUCT($M$228:$M$247,--(L$228:L$247="Y")),0)</f>
        <v>0</v>
      </c>
      <c r="Z234" s="212" cm="1">
        <f t="array" ref="Z234">IF(M234="Y",M$125*$M234/SUMPRODUCT($M$228:$M$247,--(M$228:M$247="Y")),0)</f>
        <v>0</v>
      </c>
      <c r="AA234" s="212" cm="1">
        <f t="array" ref="AA234">IF(N234="Y",N$125*$M234/SUMPRODUCT($M$228:$M$247,--(N$228:N$247="Y")),0)</f>
        <v>0</v>
      </c>
      <c r="AB234" s="212" cm="1">
        <f t="array" ref="AB234">IF(O234="Y",O$125*$M234/SUMPRODUCT($M$228:$M$247,--(O$228:O$247="Y")),0)</f>
        <v>0</v>
      </c>
      <c r="AC234" s="212" cm="1">
        <f t="array" ref="AC234">IF(P234="Y",P$125*$M234/SUMPRODUCT($M$228:$M$247,--(P$228:P$247="Y")),0)</f>
        <v>0</v>
      </c>
      <c r="AD234" s="212" cm="1">
        <f t="array" ref="AD234">IF(Q234="Y",Q$125*$M234/SUMPRODUCT($M$228:$M$247,--(Q$228:Q$247="Y")),0)</f>
        <v>0</v>
      </c>
      <c r="AE234" s="212" cm="1">
        <f t="array" ref="AE234">IF(R234="Y",R$125*$M234/SUMPRODUCT($M$228:$M$247,--(R$228:R$247="Y")),0)</f>
        <v>0</v>
      </c>
      <c r="AF234" s="212" cm="1">
        <f t="array" ref="AF234">IF(S234="Y",S$125*$M234/SUMPRODUCT($M$228:$M$247,--(S$228:S$247="Y")),0)</f>
        <v>0</v>
      </c>
      <c r="AG234" s="212" cm="1">
        <f t="array" ref="AG234">IF(T234="Y",T$125*$M234/SUMPRODUCT($M$228:$M$247,--(T$228:T$247="Y")),0)</f>
        <v>0</v>
      </c>
      <c r="AH234" s="212" cm="1">
        <f t="array" ref="AH234">IF(U234="Y",U$125*$M234/SUMPRODUCT($M$228:$M$247,--(U$228:U$247="Y")),0)</f>
        <v>0</v>
      </c>
    </row>
    <row r="235" spans="1:34" hidden="1" x14ac:dyDescent="0.2">
      <c r="A235" s="124">
        <f t="shared" si="66"/>
        <v>8</v>
      </c>
      <c r="B235" s="258" t="str" cm="1">
        <f t="array" ref="B235">IFERROR(IF(AND(
   INDEX(Loans!$T$4:$T$23, MATCH($A235, Loans!$M$4:$M$23, 0))&lt;&gt;"",
   TRIM(INDEX(Loans!$T$4:$T$23, MATCH($A235, Loans!$M$4:$M$23, 0)))
   =TRIM(INDEX('Properties &amp; Ind Income'!$C$3:$C$12, B$227))
 ), "Y", ""), "")</f>
        <v/>
      </c>
      <c r="C235" s="258" t="str" cm="1">
        <f t="array" ref="C235">IFERROR(IF(AND(
   INDEX(Loans!$T$4:$T$23, MATCH($A235, Loans!$M$4:$M$23, 0))&lt;&gt;"",
   TRIM(INDEX(Loans!$T$4:$T$23, MATCH($A235, Loans!$M$4:$M$23, 0)))
   =TRIM(INDEX('Properties &amp; Ind Income'!$C$3:$C$12, C$227))
 ), "Y", ""), "")</f>
        <v/>
      </c>
      <c r="D235" s="258" t="str" cm="1">
        <f t="array" ref="D235">IFERROR(IF(AND(
   INDEX(Loans!$T$4:$T$23, MATCH($A235, Loans!$M$4:$M$23, 0))&lt;&gt;"",
   TRIM(INDEX(Loans!$T$4:$T$23, MATCH($A235, Loans!$M$4:$M$23, 0)))
   =TRIM(INDEX('Properties &amp; Ind Income'!$C$3:$C$12, D$227))
 ), "Y", ""), "")</f>
        <v/>
      </c>
      <c r="E235" s="258" t="str" cm="1">
        <f t="array" ref="E235">IFERROR(IF(AND(
   INDEX(Loans!$T$4:$T$23, MATCH($A235, Loans!$M$4:$M$23, 0))&lt;&gt;"",
   TRIM(INDEX(Loans!$T$4:$T$23, MATCH($A235, Loans!$M$4:$M$23, 0)))
   =TRIM(INDEX('Properties &amp; Ind Income'!$C$3:$C$12, E$227))
 ), "Y", ""), "")</f>
        <v/>
      </c>
      <c r="F235" s="258" t="str" cm="1">
        <f t="array" ref="F235">IFERROR(IF(AND(
   INDEX(Loans!$T$4:$T$23, MATCH($A235, Loans!$M$4:$M$23, 0))&lt;&gt;"",
   TRIM(INDEX(Loans!$T$4:$T$23, MATCH($A235, Loans!$M$4:$M$23, 0)))
   =TRIM(INDEX('Properties &amp; Ind Income'!$C$3:$C$12, F$227))
 ), "Y", ""), "")</f>
        <v/>
      </c>
      <c r="G235" s="258" t="str" cm="1">
        <f t="array" ref="G235">IFERROR(IF(AND(
   INDEX(Loans!$T$4:$T$23, MATCH($A235, Loans!$M$4:$M$23, 0))&lt;&gt;"",
   TRIM(INDEX(Loans!$T$4:$T$23, MATCH($A235, Loans!$M$4:$M$23, 0)))
   =TRIM(INDEX('Properties &amp; Ind Income'!$C$3:$C$12, G$227))
 ), "Y", ""), "")</f>
        <v/>
      </c>
      <c r="H235" s="258" t="str" cm="1">
        <f t="array" ref="H235">IFERROR(IF(AND(
   INDEX(Loans!$T$4:$T$23, MATCH($A235, Loans!$M$4:$M$23, 0))&lt;&gt;"",
   TRIM(INDEX(Loans!$T$4:$T$23, MATCH($A235, Loans!$M$4:$M$23, 0)))
   =TRIM(INDEX('Properties &amp; Ind Income'!$C$3:$C$12, H$227))
 ), "Y", ""), "")</f>
        <v/>
      </c>
      <c r="I235" s="258" t="str" cm="1">
        <f t="array" ref="I235">IFERROR(IF(AND(
   INDEX(Loans!$T$4:$T$23, MATCH($A235, Loans!$M$4:$M$23, 0))&lt;&gt;"",
   TRIM(INDEX(Loans!$T$4:$T$23, MATCH($A235, Loans!$M$4:$M$23, 0)))
   =TRIM(INDEX('Properties &amp; Ind Income'!$C$3:$C$12, I$227))
 ), "Y", ""), "")</f>
        <v/>
      </c>
      <c r="J235" s="258" t="str" cm="1">
        <f t="array" ref="J235">IFERROR(IF(AND(
   INDEX(Loans!$T$4:$T$23, MATCH($A235, Loans!$M$4:$M$23, 0))&lt;&gt;"",
   TRIM(INDEX(Loans!$T$4:$T$23, MATCH($A235, Loans!$M$4:$M$23, 0)))
   =TRIM(INDEX('Properties &amp; Ind Income'!$C$3:$C$12, J$227))
 ), "Y", ""), "")</f>
        <v/>
      </c>
      <c r="K235" s="258" t="str" cm="1">
        <f t="array" ref="K235">IFERROR(IF(AND(
   INDEX(Loans!$T$4:$T$23, MATCH($A235, Loans!$M$4:$M$23, 0))&lt;&gt;"",
   TRIM(INDEX(Loans!$T$4:$T$23, MATCH($A235, Loans!$M$4:$M$23, 0)))
   =TRIM(INDEX('Properties &amp; Ind Income'!$C$3:$C$12, K$227))
 ), "Y", ""), "")</f>
        <v/>
      </c>
      <c r="L235" s="212">
        <f t="shared" si="65"/>
        <v>0</v>
      </c>
      <c r="M235" s="213">
        <f>SUM(M$147:M$158)</f>
        <v>0</v>
      </c>
      <c r="O235" s="212" cm="1">
        <f t="array" ref="O235">IF(B235="Y",B$125*$M235/SUMPRODUCT($M$228:$M$247,--(B$228:B$247="Y")),0)</f>
        <v>0</v>
      </c>
      <c r="P235" s="212" cm="1">
        <f t="array" ref="P235">IF(C235="Y",C$125*$M235/SUMPRODUCT($M$228:$M$247,--(C$228:C$247="Y")),0)</f>
        <v>0</v>
      </c>
      <c r="Q235" s="212" cm="1">
        <f t="array" ref="Q235">IF(D235="Y",D$125*$M235/SUMPRODUCT($M$228:$M$247,--(D$228:D$247="Y")),0)</f>
        <v>0</v>
      </c>
      <c r="R235" s="212" cm="1">
        <f t="array" ref="R235">IF(E235="Y",E$125*$M235/SUMPRODUCT($M$228:$M$247,--(E$228:E$247="Y")),0)</f>
        <v>0</v>
      </c>
      <c r="S235" s="212" cm="1">
        <f t="array" ref="S235">IF(F235="Y",F$125*$M235/SUMPRODUCT($M$228:$M$247,--(F$228:F$247="Y")),0)</f>
        <v>0</v>
      </c>
      <c r="T235" s="212" cm="1">
        <f t="array" ref="T235">IF(G235="Y",G$125*$M235/SUMPRODUCT($M$228:$M$247,--(G$228:G$247="Y")),0)</f>
        <v>0</v>
      </c>
      <c r="U235" s="212" cm="1">
        <f t="array" ref="U235">IF(H235="Y",H$125*$M235/SUMPRODUCT($M$228:$M$247,--(H$228:H$247="Y")),0)</f>
        <v>0</v>
      </c>
      <c r="V235" s="212" cm="1">
        <f t="array" ref="V235">IF(I235="Y",I$125*$M235/SUMPRODUCT($M$228:$M$247,--(I$228:I$247="Y")),0)</f>
        <v>0</v>
      </c>
      <c r="W235" s="212" cm="1">
        <f t="array" ref="W235">IF(J235="Y",J$125*$M235/SUMPRODUCT($M$228:$M$247,--(J$228:J$247="Y")),0)</f>
        <v>0</v>
      </c>
      <c r="X235" s="212" cm="1">
        <f t="array" ref="X235">IF(K235="Y",K$125*$M235/SUMPRODUCT($M$228:$M$247,--(K$228:K$247="Y")),0)</f>
        <v>0</v>
      </c>
      <c r="Y235" s="212" cm="1">
        <f t="array" ref="Y235">IF(L235="Y",L$125*$M235/SUMPRODUCT($M$228:$M$247,--(L$228:L$247="Y")),0)</f>
        <v>0</v>
      </c>
      <c r="Z235" s="212" cm="1">
        <f t="array" ref="Z235">IF(M235="Y",M$125*$M235/SUMPRODUCT($M$228:$M$247,--(M$228:M$247="Y")),0)</f>
        <v>0</v>
      </c>
      <c r="AA235" s="212" cm="1">
        <f t="array" ref="AA235">IF(N235="Y",N$125*$M235/SUMPRODUCT($M$228:$M$247,--(N$228:N$247="Y")),0)</f>
        <v>0</v>
      </c>
      <c r="AB235" s="212" cm="1">
        <f t="array" ref="AB235">IF(O235="Y",O$125*$M235/SUMPRODUCT($M$228:$M$247,--(O$228:O$247="Y")),0)</f>
        <v>0</v>
      </c>
      <c r="AC235" s="212" cm="1">
        <f t="array" ref="AC235">IF(P235="Y",P$125*$M235/SUMPRODUCT($M$228:$M$247,--(P$228:P$247="Y")),0)</f>
        <v>0</v>
      </c>
      <c r="AD235" s="212" cm="1">
        <f t="array" ref="AD235">IF(Q235="Y",Q$125*$M235/SUMPRODUCT($M$228:$M$247,--(Q$228:Q$247="Y")),0)</f>
        <v>0</v>
      </c>
      <c r="AE235" s="212" cm="1">
        <f t="array" ref="AE235">IF(R235="Y",R$125*$M235/SUMPRODUCT($M$228:$M$247,--(R$228:R$247="Y")),0)</f>
        <v>0</v>
      </c>
      <c r="AF235" s="212" cm="1">
        <f t="array" ref="AF235">IF(S235="Y",S$125*$M235/SUMPRODUCT($M$228:$M$247,--(S$228:S$247="Y")),0)</f>
        <v>0</v>
      </c>
      <c r="AG235" s="212" cm="1">
        <f t="array" ref="AG235">IF(T235="Y",T$125*$M235/SUMPRODUCT($M$228:$M$247,--(T$228:T$247="Y")),0)</f>
        <v>0</v>
      </c>
      <c r="AH235" s="212" cm="1">
        <f t="array" ref="AH235">IF(U235="Y",U$125*$M235/SUMPRODUCT($M$228:$M$247,--(U$228:U$247="Y")),0)</f>
        <v>0</v>
      </c>
    </row>
    <row r="236" spans="1:34" hidden="1" x14ac:dyDescent="0.2">
      <c r="A236" s="124">
        <f t="shared" si="66"/>
        <v>9</v>
      </c>
      <c r="B236" s="258" t="str" cm="1">
        <f t="array" ref="B236">IFERROR(IF(AND(
   INDEX(Loans!$T$4:$T$23, MATCH($A236, Loans!$M$4:$M$23, 0))&lt;&gt;"",
   TRIM(INDEX(Loans!$T$4:$T$23, MATCH($A236, Loans!$M$4:$M$23, 0)))
   =TRIM(INDEX('Properties &amp; Ind Income'!$C$3:$C$12, B$227))
 ), "Y", ""), "")</f>
        <v/>
      </c>
      <c r="C236" s="258" t="str" cm="1">
        <f t="array" ref="C236">IFERROR(IF(AND(
   INDEX(Loans!$T$4:$T$23, MATCH($A236, Loans!$M$4:$M$23, 0))&lt;&gt;"",
   TRIM(INDEX(Loans!$T$4:$T$23, MATCH($A236, Loans!$M$4:$M$23, 0)))
   =TRIM(INDEX('Properties &amp; Ind Income'!$C$3:$C$12, C$227))
 ), "Y", ""), "")</f>
        <v/>
      </c>
      <c r="D236" s="258" t="str" cm="1">
        <f t="array" ref="D236">IFERROR(IF(AND(
   INDEX(Loans!$T$4:$T$23, MATCH($A236, Loans!$M$4:$M$23, 0))&lt;&gt;"",
   TRIM(INDEX(Loans!$T$4:$T$23, MATCH($A236, Loans!$M$4:$M$23, 0)))
   =TRIM(INDEX('Properties &amp; Ind Income'!$C$3:$C$12, D$227))
 ), "Y", ""), "")</f>
        <v/>
      </c>
      <c r="E236" s="258" t="str" cm="1">
        <f t="array" ref="E236">IFERROR(IF(AND(
   INDEX(Loans!$T$4:$T$23, MATCH($A236, Loans!$M$4:$M$23, 0))&lt;&gt;"",
   TRIM(INDEX(Loans!$T$4:$T$23, MATCH($A236, Loans!$M$4:$M$23, 0)))
   =TRIM(INDEX('Properties &amp; Ind Income'!$C$3:$C$12, E$227))
 ), "Y", ""), "")</f>
        <v/>
      </c>
      <c r="F236" s="258" t="str" cm="1">
        <f t="array" ref="F236">IFERROR(IF(AND(
   INDEX(Loans!$T$4:$T$23, MATCH($A236, Loans!$M$4:$M$23, 0))&lt;&gt;"",
   TRIM(INDEX(Loans!$T$4:$T$23, MATCH($A236, Loans!$M$4:$M$23, 0)))
   =TRIM(INDEX('Properties &amp; Ind Income'!$C$3:$C$12, F$227))
 ), "Y", ""), "")</f>
        <v/>
      </c>
      <c r="G236" s="258" t="str" cm="1">
        <f t="array" ref="G236">IFERROR(IF(AND(
   INDEX(Loans!$T$4:$T$23, MATCH($A236, Loans!$M$4:$M$23, 0))&lt;&gt;"",
   TRIM(INDEX(Loans!$T$4:$T$23, MATCH($A236, Loans!$M$4:$M$23, 0)))
   =TRIM(INDEX('Properties &amp; Ind Income'!$C$3:$C$12, G$227))
 ), "Y", ""), "")</f>
        <v/>
      </c>
      <c r="H236" s="258" t="str" cm="1">
        <f t="array" ref="H236">IFERROR(IF(AND(
   INDEX(Loans!$T$4:$T$23, MATCH($A236, Loans!$M$4:$M$23, 0))&lt;&gt;"",
   TRIM(INDEX(Loans!$T$4:$T$23, MATCH($A236, Loans!$M$4:$M$23, 0)))
   =TRIM(INDEX('Properties &amp; Ind Income'!$C$3:$C$12, H$227))
 ), "Y", ""), "")</f>
        <v/>
      </c>
      <c r="I236" s="258" t="str" cm="1">
        <f t="array" ref="I236">IFERROR(IF(AND(
   INDEX(Loans!$T$4:$T$23, MATCH($A236, Loans!$M$4:$M$23, 0))&lt;&gt;"",
   TRIM(INDEX(Loans!$T$4:$T$23, MATCH($A236, Loans!$M$4:$M$23, 0)))
   =TRIM(INDEX('Properties &amp; Ind Income'!$C$3:$C$12, I$227))
 ), "Y", ""), "")</f>
        <v/>
      </c>
      <c r="J236" s="258" t="str" cm="1">
        <f t="array" ref="J236">IFERROR(IF(AND(
   INDEX(Loans!$T$4:$T$23, MATCH($A236, Loans!$M$4:$M$23, 0))&lt;&gt;"",
   TRIM(INDEX(Loans!$T$4:$T$23, MATCH($A236, Loans!$M$4:$M$23, 0)))
   =TRIM(INDEX('Properties &amp; Ind Income'!$C$3:$C$12, J$227))
 ), "Y", ""), "")</f>
        <v/>
      </c>
      <c r="K236" s="258" t="str" cm="1">
        <f t="array" ref="K236">IFERROR(IF(AND(
   INDEX(Loans!$T$4:$T$23, MATCH($A236, Loans!$M$4:$M$23, 0))&lt;&gt;"",
   TRIM(INDEX(Loans!$T$4:$T$23, MATCH($A236, Loans!$M$4:$M$23, 0)))
   =TRIM(INDEX('Properties &amp; Ind Income'!$C$3:$C$12, K$227))
 ), "Y", ""), "")</f>
        <v/>
      </c>
      <c r="L236" s="212">
        <f t="shared" si="65"/>
        <v>0</v>
      </c>
      <c r="M236" s="213">
        <f>SUM(N$147:N$158)</f>
        <v>0</v>
      </c>
      <c r="O236" s="212" cm="1">
        <f t="array" ref="O236">IF(B236="Y",B$125*$M236/SUMPRODUCT($M$228:$M$247,--(B$228:B$247="Y")),0)</f>
        <v>0</v>
      </c>
      <c r="P236" s="212" cm="1">
        <f t="array" ref="P236">IF(C236="Y",C$125*$M236/SUMPRODUCT($M$228:$M$247,--(C$228:C$247="Y")),0)</f>
        <v>0</v>
      </c>
      <c r="Q236" s="212" cm="1">
        <f t="array" ref="Q236">IF(D236="Y",D$125*$M236/SUMPRODUCT($M$228:$M$247,--(D$228:D$247="Y")),0)</f>
        <v>0</v>
      </c>
      <c r="R236" s="212" cm="1">
        <f t="array" ref="R236">IF(E236="Y",E$125*$M236/SUMPRODUCT($M$228:$M$247,--(E$228:E$247="Y")),0)</f>
        <v>0</v>
      </c>
      <c r="S236" s="212" cm="1">
        <f t="array" ref="S236">IF(F236="Y",F$125*$M236/SUMPRODUCT($M$228:$M$247,--(F$228:F$247="Y")),0)</f>
        <v>0</v>
      </c>
      <c r="T236" s="212" cm="1">
        <f t="array" ref="T236">IF(G236="Y",G$125*$M236/SUMPRODUCT($M$228:$M$247,--(G$228:G$247="Y")),0)</f>
        <v>0</v>
      </c>
      <c r="U236" s="212" cm="1">
        <f t="array" ref="U236">IF(H236="Y",H$125*$M236/SUMPRODUCT($M$228:$M$247,--(H$228:H$247="Y")),0)</f>
        <v>0</v>
      </c>
      <c r="V236" s="212" cm="1">
        <f t="array" ref="V236">IF(I236="Y",I$125*$M236/SUMPRODUCT($M$228:$M$247,--(I$228:I$247="Y")),0)</f>
        <v>0</v>
      </c>
      <c r="W236" s="212" cm="1">
        <f t="array" ref="W236">IF(J236="Y",J$125*$M236/SUMPRODUCT($M$228:$M$247,--(J$228:J$247="Y")),0)</f>
        <v>0</v>
      </c>
      <c r="X236" s="212" cm="1">
        <f t="array" ref="X236">IF(K236="Y",K$125*$M236/SUMPRODUCT($M$228:$M$247,--(K$228:K$247="Y")),0)</f>
        <v>0</v>
      </c>
      <c r="Y236" s="212" cm="1">
        <f t="array" ref="Y236">IF(L236="Y",L$125*$M236/SUMPRODUCT($M$228:$M$247,--(L$228:L$247="Y")),0)</f>
        <v>0</v>
      </c>
      <c r="Z236" s="212" cm="1">
        <f t="array" ref="Z236">IF(M236="Y",M$125*$M236/SUMPRODUCT($M$228:$M$247,--(M$228:M$247="Y")),0)</f>
        <v>0</v>
      </c>
      <c r="AA236" s="212" cm="1">
        <f t="array" ref="AA236">IF(N236="Y",N$125*$M236/SUMPRODUCT($M$228:$M$247,--(N$228:N$247="Y")),0)</f>
        <v>0</v>
      </c>
      <c r="AB236" s="212" cm="1">
        <f t="array" ref="AB236">IF(O236="Y",O$125*$M236/SUMPRODUCT($M$228:$M$247,--(O$228:O$247="Y")),0)</f>
        <v>0</v>
      </c>
      <c r="AC236" s="212" cm="1">
        <f t="array" ref="AC236">IF(P236="Y",P$125*$M236/SUMPRODUCT($M$228:$M$247,--(P$228:P$247="Y")),0)</f>
        <v>0</v>
      </c>
      <c r="AD236" s="212" cm="1">
        <f t="array" ref="AD236">IF(Q236="Y",Q$125*$M236/SUMPRODUCT($M$228:$M$247,--(Q$228:Q$247="Y")),0)</f>
        <v>0</v>
      </c>
      <c r="AE236" s="212" cm="1">
        <f t="array" ref="AE236">IF(R236="Y",R$125*$M236/SUMPRODUCT($M$228:$M$247,--(R$228:R$247="Y")),0)</f>
        <v>0</v>
      </c>
      <c r="AF236" s="212" cm="1">
        <f t="array" ref="AF236">IF(S236="Y",S$125*$M236/SUMPRODUCT($M$228:$M$247,--(S$228:S$247="Y")),0)</f>
        <v>0</v>
      </c>
      <c r="AG236" s="212" cm="1">
        <f t="array" ref="AG236">IF(T236="Y",T$125*$M236/SUMPRODUCT($M$228:$M$247,--(T$228:T$247="Y")),0)</f>
        <v>0</v>
      </c>
      <c r="AH236" s="212" cm="1">
        <f t="array" ref="AH236">IF(U236="Y",U$125*$M236/SUMPRODUCT($M$228:$M$247,--(U$228:U$247="Y")),0)</f>
        <v>0</v>
      </c>
    </row>
    <row r="237" spans="1:34" hidden="1" x14ac:dyDescent="0.2">
      <c r="A237" s="124">
        <f t="shared" si="66"/>
        <v>10</v>
      </c>
      <c r="B237" s="258" t="str" cm="1">
        <f t="array" ref="B237">IFERROR(IF(AND(
   INDEX(Loans!$T$4:$T$23, MATCH($A237, Loans!$M$4:$M$23, 0))&lt;&gt;"",
   TRIM(INDEX(Loans!$T$4:$T$23, MATCH($A237, Loans!$M$4:$M$23, 0)))
   =TRIM(INDEX('Properties &amp; Ind Income'!$C$3:$C$12, B$227))
 ), "Y", ""), "")</f>
        <v/>
      </c>
      <c r="C237" s="258" t="str" cm="1">
        <f t="array" ref="C237">IFERROR(IF(AND(
   INDEX(Loans!$T$4:$T$23, MATCH($A237, Loans!$M$4:$M$23, 0))&lt;&gt;"",
   TRIM(INDEX(Loans!$T$4:$T$23, MATCH($A237, Loans!$M$4:$M$23, 0)))
   =TRIM(INDEX('Properties &amp; Ind Income'!$C$3:$C$12, C$227))
 ), "Y", ""), "")</f>
        <v/>
      </c>
      <c r="D237" s="258" t="str" cm="1">
        <f t="array" ref="D237">IFERROR(IF(AND(
   INDEX(Loans!$T$4:$T$23, MATCH($A237, Loans!$M$4:$M$23, 0))&lt;&gt;"",
   TRIM(INDEX(Loans!$T$4:$T$23, MATCH($A237, Loans!$M$4:$M$23, 0)))
   =TRIM(INDEX('Properties &amp; Ind Income'!$C$3:$C$12, D$227))
 ), "Y", ""), "")</f>
        <v/>
      </c>
      <c r="E237" s="258" t="str" cm="1">
        <f t="array" ref="E237">IFERROR(IF(AND(
   INDEX(Loans!$T$4:$T$23, MATCH($A237, Loans!$M$4:$M$23, 0))&lt;&gt;"",
   TRIM(INDEX(Loans!$T$4:$T$23, MATCH($A237, Loans!$M$4:$M$23, 0)))
   =TRIM(INDEX('Properties &amp; Ind Income'!$C$3:$C$12, E$227))
 ), "Y", ""), "")</f>
        <v/>
      </c>
      <c r="F237" s="258" t="str" cm="1">
        <f t="array" ref="F237">IFERROR(IF(AND(
   INDEX(Loans!$T$4:$T$23, MATCH($A237, Loans!$M$4:$M$23, 0))&lt;&gt;"",
   TRIM(INDEX(Loans!$T$4:$T$23, MATCH($A237, Loans!$M$4:$M$23, 0)))
   =TRIM(INDEX('Properties &amp; Ind Income'!$C$3:$C$12, F$227))
 ), "Y", ""), "")</f>
        <v/>
      </c>
      <c r="G237" s="258" t="str" cm="1">
        <f t="array" ref="G237">IFERROR(IF(AND(
   INDEX(Loans!$T$4:$T$23, MATCH($A237, Loans!$M$4:$M$23, 0))&lt;&gt;"",
   TRIM(INDEX(Loans!$T$4:$T$23, MATCH($A237, Loans!$M$4:$M$23, 0)))
   =TRIM(INDEX('Properties &amp; Ind Income'!$C$3:$C$12, G$227))
 ), "Y", ""), "")</f>
        <v/>
      </c>
      <c r="H237" s="258" t="str" cm="1">
        <f t="array" ref="H237">IFERROR(IF(AND(
   INDEX(Loans!$T$4:$T$23, MATCH($A237, Loans!$M$4:$M$23, 0))&lt;&gt;"",
   TRIM(INDEX(Loans!$T$4:$T$23, MATCH($A237, Loans!$M$4:$M$23, 0)))
   =TRIM(INDEX('Properties &amp; Ind Income'!$C$3:$C$12, H$227))
 ), "Y", ""), "")</f>
        <v/>
      </c>
      <c r="I237" s="258" t="str" cm="1">
        <f t="array" ref="I237">IFERROR(IF(AND(
   INDEX(Loans!$T$4:$T$23, MATCH($A237, Loans!$M$4:$M$23, 0))&lt;&gt;"",
   TRIM(INDEX(Loans!$T$4:$T$23, MATCH($A237, Loans!$M$4:$M$23, 0)))
   =TRIM(INDEX('Properties &amp; Ind Income'!$C$3:$C$12, I$227))
 ), "Y", ""), "")</f>
        <v/>
      </c>
      <c r="J237" s="258" t="str" cm="1">
        <f t="array" ref="J237">IFERROR(IF(AND(
   INDEX(Loans!$T$4:$T$23, MATCH($A237, Loans!$M$4:$M$23, 0))&lt;&gt;"",
   TRIM(INDEX(Loans!$T$4:$T$23, MATCH($A237, Loans!$M$4:$M$23, 0)))
   =TRIM(INDEX('Properties &amp; Ind Income'!$C$3:$C$12, J$227))
 ), "Y", ""), "")</f>
        <v/>
      </c>
      <c r="K237" s="258" t="str" cm="1">
        <f t="array" ref="K237">IFERROR(IF(AND(
   INDEX(Loans!$T$4:$T$23, MATCH($A237, Loans!$M$4:$M$23, 0))&lt;&gt;"",
   TRIM(INDEX(Loans!$T$4:$T$23, MATCH($A237, Loans!$M$4:$M$23, 0)))
   =TRIM(INDEX('Properties &amp; Ind Income'!$C$3:$C$12, K$227))
 ), "Y", ""), "")</f>
        <v/>
      </c>
      <c r="L237" s="212">
        <f t="shared" si="65"/>
        <v>0</v>
      </c>
      <c r="M237" s="213">
        <f>SUM(O$147:O$158)</f>
        <v>0</v>
      </c>
      <c r="O237" s="212" cm="1">
        <f t="array" ref="O237">IF(B237="Y",B$125*$M237/SUMPRODUCT($M$228:$M$247,--(B$228:B$247="Y")),0)</f>
        <v>0</v>
      </c>
      <c r="P237" s="212" cm="1">
        <f t="array" ref="P237">IF(C237="Y",C$125*$M237/SUMPRODUCT($M$228:$M$247,--(C$228:C$247="Y")),0)</f>
        <v>0</v>
      </c>
      <c r="Q237" s="212" cm="1">
        <f t="array" ref="Q237">IF(D237="Y",D$125*$M237/SUMPRODUCT($M$228:$M$247,--(D$228:D$247="Y")),0)</f>
        <v>0</v>
      </c>
      <c r="R237" s="212" cm="1">
        <f t="array" ref="R237">IF(E237="Y",E$125*$M237/SUMPRODUCT($M$228:$M$247,--(E$228:E$247="Y")),0)</f>
        <v>0</v>
      </c>
      <c r="S237" s="212" cm="1">
        <f t="array" ref="S237">IF(F237="Y",F$125*$M237/SUMPRODUCT($M$228:$M$247,--(F$228:F$247="Y")),0)</f>
        <v>0</v>
      </c>
      <c r="T237" s="212" cm="1">
        <f t="array" ref="T237">IF(G237="Y",G$125*$M237/SUMPRODUCT($M$228:$M$247,--(G$228:G$247="Y")),0)</f>
        <v>0</v>
      </c>
      <c r="U237" s="212" cm="1">
        <f t="array" ref="U237">IF(H237="Y",H$125*$M237/SUMPRODUCT($M$228:$M$247,--(H$228:H$247="Y")),0)</f>
        <v>0</v>
      </c>
      <c r="V237" s="212" cm="1">
        <f t="array" ref="V237">IF(I237="Y",I$125*$M237/SUMPRODUCT($M$228:$M$247,--(I$228:I$247="Y")),0)</f>
        <v>0</v>
      </c>
      <c r="W237" s="212" cm="1">
        <f t="array" ref="W237">IF(J237="Y",J$125*$M237/SUMPRODUCT($M$228:$M$247,--(J$228:J$247="Y")),0)</f>
        <v>0</v>
      </c>
      <c r="X237" s="212" cm="1">
        <f t="array" ref="X237">IF(K237="Y",K$125*$M237/SUMPRODUCT($M$228:$M$247,--(K$228:K$247="Y")),0)</f>
        <v>0</v>
      </c>
      <c r="Y237" s="212" cm="1">
        <f t="array" ref="Y237">IF(L237="Y",L$125*$M237/SUMPRODUCT($M$228:$M$247,--(L$228:L$247="Y")),0)</f>
        <v>0</v>
      </c>
      <c r="Z237" s="212" cm="1">
        <f t="array" ref="Z237">IF(M237="Y",M$125*$M237/SUMPRODUCT($M$228:$M$247,--(M$228:M$247="Y")),0)</f>
        <v>0</v>
      </c>
      <c r="AA237" s="212" cm="1">
        <f t="array" ref="AA237">IF(N237="Y",N$125*$M237/SUMPRODUCT($M$228:$M$247,--(N$228:N$247="Y")),0)</f>
        <v>0</v>
      </c>
      <c r="AB237" s="212" cm="1">
        <f t="array" ref="AB237">IF(O237="Y",O$125*$M237/SUMPRODUCT($M$228:$M$247,--(O$228:O$247="Y")),0)</f>
        <v>0</v>
      </c>
      <c r="AC237" s="212" cm="1">
        <f t="array" ref="AC237">IF(P237="Y",P$125*$M237/SUMPRODUCT($M$228:$M$247,--(P$228:P$247="Y")),0)</f>
        <v>0</v>
      </c>
      <c r="AD237" s="212" cm="1">
        <f t="array" ref="AD237">IF(Q237="Y",Q$125*$M237/SUMPRODUCT($M$228:$M$247,--(Q$228:Q$247="Y")),0)</f>
        <v>0</v>
      </c>
      <c r="AE237" s="212" cm="1">
        <f t="array" ref="AE237">IF(R237="Y",R$125*$M237/SUMPRODUCT($M$228:$M$247,--(R$228:R$247="Y")),0)</f>
        <v>0</v>
      </c>
      <c r="AF237" s="212" cm="1">
        <f t="array" ref="AF237">IF(S237="Y",S$125*$M237/SUMPRODUCT($M$228:$M$247,--(S$228:S$247="Y")),0)</f>
        <v>0</v>
      </c>
      <c r="AG237" s="212" cm="1">
        <f t="array" ref="AG237">IF(T237="Y",T$125*$M237/SUMPRODUCT($M$228:$M$247,--(T$228:T$247="Y")),0)</f>
        <v>0</v>
      </c>
      <c r="AH237" s="212" cm="1">
        <f t="array" ref="AH237">IF(U237="Y",U$125*$M237/SUMPRODUCT($M$228:$M$247,--(U$228:U$247="Y")),0)</f>
        <v>0</v>
      </c>
    </row>
    <row r="238" spans="1:34" hidden="1" x14ac:dyDescent="0.2">
      <c r="A238" s="124">
        <f t="shared" si="66"/>
        <v>11</v>
      </c>
      <c r="B238" s="258" t="str" cm="1">
        <f t="array" ref="B238">IFERROR(IF(AND(
   INDEX(Loans!$T$4:$T$23, MATCH($A238, Loans!$M$4:$M$23, 0))&lt;&gt;"",
   TRIM(INDEX(Loans!$T$4:$T$23, MATCH($A238, Loans!$M$4:$M$23, 0)))
   =TRIM(INDEX('Properties &amp; Ind Income'!$C$3:$C$12, B$227))
 ), "Y", ""), "")</f>
        <v/>
      </c>
      <c r="C238" s="258" t="str" cm="1">
        <f t="array" ref="C238">IFERROR(IF(AND(
   INDEX(Loans!$T$4:$T$23, MATCH($A238, Loans!$M$4:$M$23, 0))&lt;&gt;"",
   TRIM(INDEX(Loans!$T$4:$T$23, MATCH($A238, Loans!$M$4:$M$23, 0)))
   =TRIM(INDEX('Properties &amp; Ind Income'!$C$3:$C$12, C$227))
 ), "Y", ""), "")</f>
        <v/>
      </c>
      <c r="D238" s="258" t="str" cm="1">
        <f t="array" ref="D238">IFERROR(IF(AND(
   INDEX(Loans!$T$4:$T$23, MATCH($A238, Loans!$M$4:$M$23, 0))&lt;&gt;"",
   TRIM(INDEX(Loans!$T$4:$T$23, MATCH($A238, Loans!$M$4:$M$23, 0)))
   =TRIM(INDEX('Properties &amp; Ind Income'!$C$3:$C$12, D$227))
 ), "Y", ""), "")</f>
        <v/>
      </c>
      <c r="E238" s="258" t="str" cm="1">
        <f t="array" ref="E238">IFERROR(IF(AND(
   INDEX(Loans!$T$4:$T$23, MATCH($A238, Loans!$M$4:$M$23, 0))&lt;&gt;"",
   TRIM(INDEX(Loans!$T$4:$T$23, MATCH($A238, Loans!$M$4:$M$23, 0)))
   =TRIM(INDEX('Properties &amp; Ind Income'!$C$3:$C$12, E$227))
 ), "Y", ""), "")</f>
        <v/>
      </c>
      <c r="F238" s="258" t="str" cm="1">
        <f t="array" ref="F238">IFERROR(IF(AND(
   INDEX(Loans!$T$4:$T$23, MATCH($A238, Loans!$M$4:$M$23, 0))&lt;&gt;"",
   TRIM(INDEX(Loans!$T$4:$T$23, MATCH($A238, Loans!$M$4:$M$23, 0)))
   =TRIM(INDEX('Properties &amp; Ind Income'!$C$3:$C$12, F$227))
 ), "Y", ""), "")</f>
        <v/>
      </c>
      <c r="G238" s="258" t="str" cm="1">
        <f t="array" ref="G238">IFERROR(IF(AND(
   INDEX(Loans!$T$4:$T$23, MATCH($A238, Loans!$M$4:$M$23, 0))&lt;&gt;"",
   TRIM(INDEX(Loans!$T$4:$T$23, MATCH($A238, Loans!$M$4:$M$23, 0)))
   =TRIM(INDEX('Properties &amp; Ind Income'!$C$3:$C$12, G$227))
 ), "Y", ""), "")</f>
        <v/>
      </c>
      <c r="H238" s="258" t="str" cm="1">
        <f t="array" ref="H238">IFERROR(IF(AND(
   INDEX(Loans!$T$4:$T$23, MATCH($A238, Loans!$M$4:$M$23, 0))&lt;&gt;"",
   TRIM(INDEX(Loans!$T$4:$T$23, MATCH($A238, Loans!$M$4:$M$23, 0)))
   =TRIM(INDEX('Properties &amp; Ind Income'!$C$3:$C$12, H$227))
 ), "Y", ""), "")</f>
        <v/>
      </c>
      <c r="I238" s="258" t="str" cm="1">
        <f t="array" ref="I238">IFERROR(IF(AND(
   INDEX(Loans!$T$4:$T$23, MATCH($A238, Loans!$M$4:$M$23, 0))&lt;&gt;"",
   TRIM(INDEX(Loans!$T$4:$T$23, MATCH($A238, Loans!$M$4:$M$23, 0)))
   =TRIM(INDEX('Properties &amp; Ind Income'!$C$3:$C$12, I$227))
 ), "Y", ""), "")</f>
        <v/>
      </c>
      <c r="J238" s="258" t="str" cm="1">
        <f t="array" ref="J238">IFERROR(IF(AND(
   INDEX(Loans!$T$4:$T$23, MATCH($A238, Loans!$M$4:$M$23, 0))&lt;&gt;"",
   TRIM(INDEX(Loans!$T$4:$T$23, MATCH($A238, Loans!$M$4:$M$23, 0)))
   =TRIM(INDEX('Properties &amp; Ind Income'!$C$3:$C$12, J$227))
 ), "Y", ""), "")</f>
        <v/>
      </c>
      <c r="K238" s="258" t="str" cm="1">
        <f t="array" ref="K238">IFERROR(IF(AND(
   INDEX(Loans!$T$4:$T$23, MATCH($A238, Loans!$M$4:$M$23, 0))&lt;&gt;"",
   TRIM(INDEX(Loans!$T$4:$T$23, MATCH($A238, Loans!$M$4:$M$23, 0)))
   =TRIM(INDEX('Properties &amp; Ind Income'!$C$3:$C$12, K$227))
 ), "Y", ""), "")</f>
        <v/>
      </c>
      <c r="L238" s="212">
        <f t="shared" si="65"/>
        <v>0</v>
      </c>
      <c r="M238" s="213">
        <f>SUM(P$147:P$158)</f>
        <v>0</v>
      </c>
      <c r="O238" s="212" cm="1">
        <f t="array" ref="O238">IF(B238="Y",B$125*$M238/SUMPRODUCT($M$228:$M$247,--(B$228:B$247="Y")),0)</f>
        <v>0</v>
      </c>
      <c r="P238" s="212" cm="1">
        <f t="array" ref="P238">IF(C238="Y",C$125*$M238/SUMPRODUCT($M$228:$M$247,--(C$228:C$247="Y")),0)</f>
        <v>0</v>
      </c>
      <c r="Q238" s="212" cm="1">
        <f t="array" ref="Q238">IF(D238="Y",D$125*$M238/SUMPRODUCT($M$228:$M$247,--(D$228:D$247="Y")),0)</f>
        <v>0</v>
      </c>
      <c r="R238" s="212" cm="1">
        <f t="array" ref="R238">IF(E238="Y",E$125*$M238/SUMPRODUCT($M$228:$M$247,--(E$228:E$247="Y")),0)</f>
        <v>0</v>
      </c>
      <c r="S238" s="212" cm="1">
        <f t="array" ref="S238">IF(F238="Y",F$125*$M238/SUMPRODUCT($M$228:$M$247,--(F$228:F$247="Y")),0)</f>
        <v>0</v>
      </c>
      <c r="T238" s="212" cm="1">
        <f t="array" ref="T238">IF(G238="Y",G$125*$M238/SUMPRODUCT($M$228:$M$247,--(G$228:G$247="Y")),0)</f>
        <v>0</v>
      </c>
      <c r="U238" s="212" cm="1">
        <f t="array" ref="U238">IF(H238="Y",H$125*$M238/SUMPRODUCT($M$228:$M$247,--(H$228:H$247="Y")),0)</f>
        <v>0</v>
      </c>
      <c r="V238" s="212" cm="1">
        <f t="array" ref="V238">IF(I238="Y",I$125*$M238/SUMPRODUCT($M$228:$M$247,--(I$228:I$247="Y")),0)</f>
        <v>0</v>
      </c>
      <c r="W238" s="212" cm="1">
        <f t="array" ref="W238">IF(J238="Y",J$125*$M238/SUMPRODUCT($M$228:$M$247,--(J$228:J$247="Y")),0)</f>
        <v>0</v>
      </c>
      <c r="X238" s="212" cm="1">
        <f t="array" ref="X238">IF(K238="Y",K$125*$M238/SUMPRODUCT($M$228:$M$247,--(K$228:K$247="Y")),0)</f>
        <v>0</v>
      </c>
      <c r="Y238" s="212" cm="1">
        <f t="array" ref="Y238">IF(L238="Y",L$125*$M238/SUMPRODUCT($M$228:$M$247,--(L$228:L$247="Y")),0)</f>
        <v>0</v>
      </c>
      <c r="Z238" s="212" cm="1">
        <f t="array" ref="Z238">IF(M238="Y",M$125*$M238/SUMPRODUCT($M$228:$M$247,--(M$228:M$247="Y")),0)</f>
        <v>0</v>
      </c>
      <c r="AA238" s="212" cm="1">
        <f t="array" ref="AA238">IF(N238="Y",N$125*$M238/SUMPRODUCT($M$228:$M$247,--(N$228:N$247="Y")),0)</f>
        <v>0</v>
      </c>
      <c r="AB238" s="212" cm="1">
        <f t="array" ref="AB238">IF(O238="Y",O$125*$M238/SUMPRODUCT($M$228:$M$247,--(O$228:O$247="Y")),0)</f>
        <v>0</v>
      </c>
      <c r="AC238" s="212" cm="1">
        <f t="array" ref="AC238">IF(P238="Y",P$125*$M238/SUMPRODUCT($M$228:$M$247,--(P$228:P$247="Y")),0)</f>
        <v>0</v>
      </c>
      <c r="AD238" s="212" cm="1">
        <f t="array" ref="AD238">IF(Q238="Y",Q$125*$M238/SUMPRODUCT($M$228:$M$247,--(Q$228:Q$247="Y")),0)</f>
        <v>0</v>
      </c>
      <c r="AE238" s="212" cm="1">
        <f t="array" ref="AE238">IF(R238="Y",R$125*$M238/SUMPRODUCT($M$228:$M$247,--(R$228:R$247="Y")),0)</f>
        <v>0</v>
      </c>
      <c r="AF238" s="212" cm="1">
        <f t="array" ref="AF238">IF(S238="Y",S$125*$M238/SUMPRODUCT($M$228:$M$247,--(S$228:S$247="Y")),0)</f>
        <v>0</v>
      </c>
      <c r="AG238" s="212" cm="1">
        <f t="array" ref="AG238">IF(T238="Y",T$125*$M238/SUMPRODUCT($M$228:$M$247,--(T$228:T$247="Y")),0)</f>
        <v>0</v>
      </c>
      <c r="AH238" s="212" cm="1">
        <f t="array" ref="AH238">IF(U238="Y",U$125*$M238/SUMPRODUCT($M$228:$M$247,--(U$228:U$247="Y")),0)</f>
        <v>0</v>
      </c>
    </row>
    <row r="239" spans="1:34" hidden="1" x14ac:dyDescent="0.2">
      <c r="A239" s="124">
        <f t="shared" si="66"/>
        <v>12</v>
      </c>
      <c r="B239" s="258" t="str" cm="1">
        <f t="array" ref="B239">IFERROR(IF(AND(
   INDEX(Loans!$T$4:$T$23, MATCH($A239, Loans!$M$4:$M$23, 0))&lt;&gt;"",
   TRIM(INDEX(Loans!$T$4:$T$23, MATCH($A239, Loans!$M$4:$M$23, 0)))
   =TRIM(INDEX('Properties &amp; Ind Income'!$C$3:$C$12, B$227))
 ), "Y", ""), "")</f>
        <v/>
      </c>
      <c r="C239" s="258" t="str" cm="1">
        <f t="array" ref="C239">IFERROR(IF(AND(
   INDEX(Loans!$T$4:$T$23, MATCH($A239, Loans!$M$4:$M$23, 0))&lt;&gt;"",
   TRIM(INDEX(Loans!$T$4:$T$23, MATCH($A239, Loans!$M$4:$M$23, 0)))
   =TRIM(INDEX('Properties &amp; Ind Income'!$C$3:$C$12, C$227))
 ), "Y", ""), "")</f>
        <v/>
      </c>
      <c r="D239" s="258" t="str" cm="1">
        <f t="array" ref="D239">IFERROR(IF(AND(
   INDEX(Loans!$T$4:$T$23, MATCH($A239, Loans!$M$4:$M$23, 0))&lt;&gt;"",
   TRIM(INDEX(Loans!$T$4:$T$23, MATCH($A239, Loans!$M$4:$M$23, 0)))
   =TRIM(INDEX('Properties &amp; Ind Income'!$C$3:$C$12, D$227))
 ), "Y", ""), "")</f>
        <v/>
      </c>
      <c r="E239" s="258" t="str" cm="1">
        <f t="array" ref="E239">IFERROR(IF(AND(
   INDEX(Loans!$T$4:$T$23, MATCH($A239, Loans!$M$4:$M$23, 0))&lt;&gt;"",
   TRIM(INDEX(Loans!$T$4:$T$23, MATCH($A239, Loans!$M$4:$M$23, 0)))
   =TRIM(INDEX('Properties &amp; Ind Income'!$C$3:$C$12, E$227))
 ), "Y", ""), "")</f>
        <v/>
      </c>
      <c r="F239" s="258" t="str" cm="1">
        <f t="array" ref="F239">IFERROR(IF(AND(
   INDEX(Loans!$T$4:$T$23, MATCH($A239, Loans!$M$4:$M$23, 0))&lt;&gt;"",
   TRIM(INDEX(Loans!$T$4:$T$23, MATCH($A239, Loans!$M$4:$M$23, 0)))
   =TRIM(INDEX('Properties &amp; Ind Income'!$C$3:$C$12, F$227))
 ), "Y", ""), "")</f>
        <v/>
      </c>
      <c r="G239" s="258" t="str" cm="1">
        <f t="array" ref="G239">IFERROR(IF(AND(
   INDEX(Loans!$T$4:$T$23, MATCH($A239, Loans!$M$4:$M$23, 0))&lt;&gt;"",
   TRIM(INDEX(Loans!$T$4:$T$23, MATCH($A239, Loans!$M$4:$M$23, 0)))
   =TRIM(INDEX('Properties &amp; Ind Income'!$C$3:$C$12, G$227))
 ), "Y", ""), "")</f>
        <v/>
      </c>
      <c r="H239" s="258" t="str" cm="1">
        <f t="array" ref="H239">IFERROR(IF(AND(
   INDEX(Loans!$T$4:$T$23, MATCH($A239, Loans!$M$4:$M$23, 0))&lt;&gt;"",
   TRIM(INDEX(Loans!$T$4:$T$23, MATCH($A239, Loans!$M$4:$M$23, 0)))
   =TRIM(INDEX('Properties &amp; Ind Income'!$C$3:$C$12, H$227))
 ), "Y", ""), "")</f>
        <v/>
      </c>
      <c r="I239" s="258" t="str" cm="1">
        <f t="array" ref="I239">IFERROR(IF(AND(
   INDEX(Loans!$T$4:$T$23, MATCH($A239, Loans!$M$4:$M$23, 0))&lt;&gt;"",
   TRIM(INDEX(Loans!$T$4:$T$23, MATCH($A239, Loans!$M$4:$M$23, 0)))
   =TRIM(INDEX('Properties &amp; Ind Income'!$C$3:$C$12, I$227))
 ), "Y", ""), "")</f>
        <v/>
      </c>
      <c r="J239" s="258" t="str" cm="1">
        <f t="array" ref="J239">IFERROR(IF(AND(
   INDEX(Loans!$T$4:$T$23, MATCH($A239, Loans!$M$4:$M$23, 0))&lt;&gt;"",
   TRIM(INDEX(Loans!$T$4:$T$23, MATCH($A239, Loans!$M$4:$M$23, 0)))
   =TRIM(INDEX('Properties &amp; Ind Income'!$C$3:$C$12, J$227))
 ), "Y", ""), "")</f>
        <v/>
      </c>
      <c r="K239" s="258" t="str" cm="1">
        <f t="array" ref="K239">IFERROR(IF(AND(
   INDEX(Loans!$T$4:$T$23, MATCH($A239, Loans!$M$4:$M$23, 0))&lt;&gt;"",
   TRIM(INDEX(Loans!$T$4:$T$23, MATCH($A239, Loans!$M$4:$M$23, 0)))
   =TRIM(INDEX('Properties &amp; Ind Income'!$C$3:$C$12, K$227))
 ), "Y", ""), "")</f>
        <v/>
      </c>
      <c r="L239" s="212">
        <f t="shared" si="65"/>
        <v>0</v>
      </c>
      <c r="M239" s="213">
        <f>SUM(Q$147:Q$158)</f>
        <v>0</v>
      </c>
      <c r="O239" s="212" cm="1">
        <f t="array" ref="O239">IF(B239="Y",B$125*$M239/SUMPRODUCT($M$228:$M$247,--(B$228:B$247="Y")),0)</f>
        <v>0</v>
      </c>
      <c r="P239" s="212" cm="1">
        <f t="array" ref="P239">IF(C239="Y",C$125*$M239/SUMPRODUCT($M$228:$M$247,--(C$228:C$247="Y")),0)</f>
        <v>0</v>
      </c>
      <c r="Q239" s="212" cm="1">
        <f t="array" ref="Q239">IF(D239="Y",D$125*$M239/SUMPRODUCT($M$228:$M$247,--(D$228:D$247="Y")),0)</f>
        <v>0</v>
      </c>
      <c r="R239" s="212" cm="1">
        <f t="array" ref="R239">IF(E239="Y",E$125*$M239/SUMPRODUCT($M$228:$M$247,--(E$228:E$247="Y")),0)</f>
        <v>0</v>
      </c>
      <c r="S239" s="212" cm="1">
        <f t="array" ref="S239">IF(F239="Y",F$125*$M239/SUMPRODUCT($M$228:$M$247,--(F$228:F$247="Y")),0)</f>
        <v>0</v>
      </c>
      <c r="T239" s="212" cm="1">
        <f t="array" ref="T239">IF(G239="Y",G$125*$M239/SUMPRODUCT($M$228:$M$247,--(G$228:G$247="Y")),0)</f>
        <v>0</v>
      </c>
      <c r="U239" s="212" cm="1">
        <f t="array" ref="U239">IF(H239="Y",H$125*$M239/SUMPRODUCT($M$228:$M$247,--(H$228:H$247="Y")),0)</f>
        <v>0</v>
      </c>
      <c r="V239" s="212" cm="1">
        <f t="array" ref="V239">IF(I239="Y",I$125*$M239/SUMPRODUCT($M$228:$M$247,--(I$228:I$247="Y")),0)</f>
        <v>0</v>
      </c>
      <c r="W239" s="212" cm="1">
        <f t="array" ref="W239">IF(J239="Y",J$125*$M239/SUMPRODUCT($M$228:$M$247,--(J$228:J$247="Y")),0)</f>
        <v>0</v>
      </c>
      <c r="X239" s="212" cm="1">
        <f t="array" ref="X239">IF(K239="Y",K$125*$M239/SUMPRODUCT($M$228:$M$247,--(K$228:K$247="Y")),0)</f>
        <v>0</v>
      </c>
      <c r="Y239" s="212" cm="1">
        <f t="array" ref="Y239">IF(L239="Y",L$125*$M239/SUMPRODUCT($M$228:$M$247,--(L$228:L$247="Y")),0)</f>
        <v>0</v>
      </c>
      <c r="Z239" s="212" cm="1">
        <f t="array" ref="Z239">IF(M239="Y",M$125*$M239/SUMPRODUCT($M$228:$M$247,--(M$228:M$247="Y")),0)</f>
        <v>0</v>
      </c>
      <c r="AA239" s="212" cm="1">
        <f t="array" ref="AA239">IF(N239="Y",N$125*$M239/SUMPRODUCT($M$228:$M$247,--(N$228:N$247="Y")),0)</f>
        <v>0</v>
      </c>
      <c r="AB239" s="212" cm="1">
        <f t="array" ref="AB239">IF(O239="Y",O$125*$M239/SUMPRODUCT($M$228:$M$247,--(O$228:O$247="Y")),0)</f>
        <v>0</v>
      </c>
      <c r="AC239" s="212" cm="1">
        <f t="array" ref="AC239">IF(P239="Y",P$125*$M239/SUMPRODUCT($M$228:$M$247,--(P$228:P$247="Y")),0)</f>
        <v>0</v>
      </c>
      <c r="AD239" s="212" cm="1">
        <f t="array" ref="AD239">IF(Q239="Y",Q$125*$M239/SUMPRODUCT($M$228:$M$247,--(Q$228:Q$247="Y")),0)</f>
        <v>0</v>
      </c>
      <c r="AE239" s="212" cm="1">
        <f t="array" ref="AE239">IF(R239="Y",R$125*$M239/SUMPRODUCT($M$228:$M$247,--(R$228:R$247="Y")),0)</f>
        <v>0</v>
      </c>
      <c r="AF239" s="212" cm="1">
        <f t="array" ref="AF239">IF(S239="Y",S$125*$M239/SUMPRODUCT($M$228:$M$247,--(S$228:S$247="Y")),0)</f>
        <v>0</v>
      </c>
      <c r="AG239" s="212" cm="1">
        <f t="array" ref="AG239">IF(T239="Y",T$125*$M239/SUMPRODUCT($M$228:$M$247,--(T$228:T$247="Y")),0)</f>
        <v>0</v>
      </c>
      <c r="AH239" s="212" cm="1">
        <f t="array" ref="AH239">IF(U239="Y",U$125*$M239/SUMPRODUCT($M$228:$M$247,--(U$228:U$247="Y")),0)</f>
        <v>0</v>
      </c>
    </row>
    <row r="240" spans="1:34" hidden="1" x14ac:dyDescent="0.2">
      <c r="A240" s="124">
        <f t="shared" si="66"/>
        <v>13</v>
      </c>
      <c r="B240" s="258" t="str" cm="1">
        <f t="array" ref="B240">IFERROR(IF(AND(
   INDEX(Loans!$T$4:$T$23, MATCH($A240, Loans!$M$4:$M$23, 0))&lt;&gt;"",
   TRIM(INDEX(Loans!$T$4:$T$23, MATCH($A240, Loans!$M$4:$M$23, 0)))
   =TRIM(INDEX('Properties &amp; Ind Income'!$C$3:$C$12, B$227))
 ), "Y", ""), "")</f>
        <v/>
      </c>
      <c r="C240" s="258" t="str" cm="1">
        <f t="array" ref="C240">IFERROR(IF(AND(
   INDEX(Loans!$T$4:$T$23, MATCH($A240, Loans!$M$4:$M$23, 0))&lt;&gt;"",
   TRIM(INDEX(Loans!$T$4:$T$23, MATCH($A240, Loans!$M$4:$M$23, 0)))
   =TRIM(INDEX('Properties &amp; Ind Income'!$C$3:$C$12, C$227))
 ), "Y", ""), "")</f>
        <v/>
      </c>
      <c r="D240" s="258" t="str" cm="1">
        <f t="array" ref="D240">IFERROR(IF(AND(
   INDEX(Loans!$T$4:$T$23, MATCH($A240, Loans!$M$4:$M$23, 0))&lt;&gt;"",
   TRIM(INDEX(Loans!$T$4:$T$23, MATCH($A240, Loans!$M$4:$M$23, 0)))
   =TRIM(INDEX('Properties &amp; Ind Income'!$C$3:$C$12, D$227))
 ), "Y", ""), "")</f>
        <v/>
      </c>
      <c r="E240" s="258" t="str" cm="1">
        <f t="array" ref="E240">IFERROR(IF(AND(
   INDEX(Loans!$T$4:$T$23, MATCH($A240, Loans!$M$4:$M$23, 0))&lt;&gt;"",
   TRIM(INDEX(Loans!$T$4:$T$23, MATCH($A240, Loans!$M$4:$M$23, 0)))
   =TRIM(INDEX('Properties &amp; Ind Income'!$C$3:$C$12, E$227))
 ), "Y", ""), "")</f>
        <v/>
      </c>
      <c r="F240" s="258" t="str" cm="1">
        <f t="array" ref="F240">IFERROR(IF(AND(
   INDEX(Loans!$T$4:$T$23, MATCH($A240, Loans!$M$4:$M$23, 0))&lt;&gt;"",
   TRIM(INDEX(Loans!$T$4:$T$23, MATCH($A240, Loans!$M$4:$M$23, 0)))
   =TRIM(INDEX('Properties &amp; Ind Income'!$C$3:$C$12, F$227))
 ), "Y", ""), "")</f>
        <v/>
      </c>
      <c r="G240" s="258" t="str" cm="1">
        <f t="array" ref="G240">IFERROR(IF(AND(
   INDEX(Loans!$T$4:$T$23, MATCH($A240, Loans!$M$4:$M$23, 0))&lt;&gt;"",
   TRIM(INDEX(Loans!$T$4:$T$23, MATCH($A240, Loans!$M$4:$M$23, 0)))
   =TRIM(INDEX('Properties &amp; Ind Income'!$C$3:$C$12, G$227))
 ), "Y", ""), "")</f>
        <v/>
      </c>
      <c r="H240" s="258" t="str" cm="1">
        <f t="array" ref="H240">IFERROR(IF(AND(
   INDEX(Loans!$T$4:$T$23, MATCH($A240, Loans!$M$4:$M$23, 0))&lt;&gt;"",
   TRIM(INDEX(Loans!$T$4:$T$23, MATCH($A240, Loans!$M$4:$M$23, 0)))
   =TRIM(INDEX('Properties &amp; Ind Income'!$C$3:$C$12, H$227))
 ), "Y", ""), "")</f>
        <v/>
      </c>
      <c r="I240" s="258" t="str" cm="1">
        <f t="array" ref="I240">IFERROR(IF(AND(
   INDEX(Loans!$T$4:$T$23, MATCH($A240, Loans!$M$4:$M$23, 0))&lt;&gt;"",
   TRIM(INDEX(Loans!$T$4:$T$23, MATCH($A240, Loans!$M$4:$M$23, 0)))
   =TRIM(INDEX('Properties &amp; Ind Income'!$C$3:$C$12, I$227))
 ), "Y", ""), "")</f>
        <v/>
      </c>
      <c r="J240" s="258" t="str" cm="1">
        <f t="array" ref="J240">IFERROR(IF(AND(
   INDEX(Loans!$T$4:$T$23, MATCH($A240, Loans!$M$4:$M$23, 0))&lt;&gt;"",
   TRIM(INDEX(Loans!$T$4:$T$23, MATCH($A240, Loans!$M$4:$M$23, 0)))
   =TRIM(INDEX('Properties &amp; Ind Income'!$C$3:$C$12, J$227))
 ), "Y", ""), "")</f>
        <v/>
      </c>
      <c r="K240" s="258" t="str" cm="1">
        <f t="array" ref="K240">IFERROR(IF(AND(
   INDEX(Loans!$T$4:$T$23, MATCH($A240, Loans!$M$4:$M$23, 0))&lt;&gt;"",
   TRIM(INDEX(Loans!$T$4:$T$23, MATCH($A240, Loans!$M$4:$M$23, 0)))
   =TRIM(INDEX('Properties &amp; Ind Income'!$C$3:$C$12, K$227))
 ), "Y", ""), "")</f>
        <v/>
      </c>
      <c r="L240" s="212">
        <f t="shared" si="65"/>
        <v>0</v>
      </c>
      <c r="M240" s="213">
        <f>SUM(R$147:R$158)</f>
        <v>0</v>
      </c>
      <c r="O240" s="212" cm="1">
        <f t="array" ref="O240">IF(B240="Y",B$125*$M240/SUMPRODUCT($M$228:$M$247,--(B$228:B$247="Y")),0)</f>
        <v>0</v>
      </c>
      <c r="P240" s="212" cm="1">
        <f t="array" ref="P240">IF(C240="Y",C$125*$M240/SUMPRODUCT($M$228:$M$247,--(C$228:C$247="Y")),0)</f>
        <v>0</v>
      </c>
      <c r="Q240" s="212" cm="1">
        <f t="array" ref="Q240">IF(D240="Y",D$125*$M240/SUMPRODUCT($M$228:$M$247,--(D$228:D$247="Y")),0)</f>
        <v>0</v>
      </c>
      <c r="R240" s="212" cm="1">
        <f t="array" ref="R240">IF(E240="Y",E$125*$M240/SUMPRODUCT($M$228:$M$247,--(E$228:E$247="Y")),0)</f>
        <v>0</v>
      </c>
      <c r="S240" s="212" cm="1">
        <f t="array" ref="S240">IF(F240="Y",F$125*$M240/SUMPRODUCT($M$228:$M$247,--(F$228:F$247="Y")),0)</f>
        <v>0</v>
      </c>
      <c r="T240" s="212" cm="1">
        <f t="array" ref="T240">IF(G240="Y",G$125*$M240/SUMPRODUCT($M$228:$M$247,--(G$228:G$247="Y")),0)</f>
        <v>0</v>
      </c>
      <c r="U240" s="212" cm="1">
        <f t="array" ref="U240">IF(H240="Y",H$125*$M240/SUMPRODUCT($M$228:$M$247,--(H$228:H$247="Y")),0)</f>
        <v>0</v>
      </c>
      <c r="V240" s="212" cm="1">
        <f t="array" ref="V240">IF(I240="Y",I$125*$M240/SUMPRODUCT($M$228:$M$247,--(I$228:I$247="Y")),0)</f>
        <v>0</v>
      </c>
      <c r="W240" s="212" cm="1">
        <f t="array" ref="W240">IF(J240="Y",J$125*$M240/SUMPRODUCT($M$228:$M$247,--(J$228:J$247="Y")),0)</f>
        <v>0</v>
      </c>
      <c r="X240" s="212" cm="1">
        <f t="array" ref="X240">IF(K240="Y",K$125*$M240/SUMPRODUCT($M$228:$M$247,--(K$228:K$247="Y")),0)</f>
        <v>0</v>
      </c>
      <c r="Y240" s="212" cm="1">
        <f t="array" ref="Y240">IF(L240="Y",L$125*$M240/SUMPRODUCT($M$228:$M$247,--(L$228:L$247="Y")),0)</f>
        <v>0</v>
      </c>
      <c r="Z240" s="212" cm="1">
        <f t="array" ref="Z240">IF(M240="Y",M$125*$M240/SUMPRODUCT($M$228:$M$247,--(M$228:M$247="Y")),0)</f>
        <v>0</v>
      </c>
      <c r="AA240" s="212" cm="1">
        <f t="array" ref="AA240">IF(N240="Y",N$125*$M240/SUMPRODUCT($M$228:$M$247,--(N$228:N$247="Y")),0)</f>
        <v>0</v>
      </c>
      <c r="AB240" s="212" cm="1">
        <f t="array" ref="AB240">IF(O240="Y",O$125*$M240/SUMPRODUCT($M$228:$M$247,--(O$228:O$247="Y")),0)</f>
        <v>0</v>
      </c>
      <c r="AC240" s="212" cm="1">
        <f t="array" ref="AC240">IF(P240="Y",P$125*$M240/SUMPRODUCT($M$228:$M$247,--(P$228:P$247="Y")),0)</f>
        <v>0</v>
      </c>
      <c r="AD240" s="212" cm="1">
        <f t="array" ref="AD240">IF(Q240="Y",Q$125*$M240/SUMPRODUCT($M$228:$M$247,--(Q$228:Q$247="Y")),0)</f>
        <v>0</v>
      </c>
      <c r="AE240" s="212" cm="1">
        <f t="array" ref="AE240">IF(R240="Y",R$125*$M240/SUMPRODUCT($M$228:$M$247,--(R$228:R$247="Y")),0)</f>
        <v>0</v>
      </c>
      <c r="AF240" s="212" cm="1">
        <f t="array" ref="AF240">IF(S240="Y",S$125*$M240/SUMPRODUCT($M$228:$M$247,--(S$228:S$247="Y")),0)</f>
        <v>0</v>
      </c>
      <c r="AG240" s="212" cm="1">
        <f t="array" ref="AG240">IF(T240="Y",T$125*$M240/SUMPRODUCT($M$228:$M$247,--(T$228:T$247="Y")),0)</f>
        <v>0</v>
      </c>
      <c r="AH240" s="212" cm="1">
        <f t="array" ref="AH240">IF(U240="Y",U$125*$M240/SUMPRODUCT($M$228:$M$247,--(U$228:U$247="Y")),0)</f>
        <v>0</v>
      </c>
    </row>
    <row r="241" spans="1:34" hidden="1" x14ac:dyDescent="0.2">
      <c r="A241" s="124">
        <f t="shared" si="66"/>
        <v>14</v>
      </c>
      <c r="B241" s="258" t="str" cm="1">
        <f t="array" ref="B241">IFERROR(IF(AND(
   INDEX(Loans!$T$4:$T$23, MATCH($A241, Loans!$M$4:$M$23, 0))&lt;&gt;"",
   TRIM(INDEX(Loans!$T$4:$T$23, MATCH($A241, Loans!$M$4:$M$23, 0)))
   =TRIM(INDEX('Properties &amp; Ind Income'!$C$3:$C$12, B$227))
 ), "Y", ""), "")</f>
        <v/>
      </c>
      <c r="C241" s="258" t="str" cm="1">
        <f t="array" ref="C241">IFERROR(IF(AND(
   INDEX(Loans!$T$4:$T$23, MATCH($A241, Loans!$M$4:$M$23, 0))&lt;&gt;"",
   TRIM(INDEX(Loans!$T$4:$T$23, MATCH($A241, Loans!$M$4:$M$23, 0)))
   =TRIM(INDEX('Properties &amp; Ind Income'!$C$3:$C$12, C$227))
 ), "Y", ""), "")</f>
        <v/>
      </c>
      <c r="D241" s="258" t="str" cm="1">
        <f t="array" ref="D241">IFERROR(IF(AND(
   INDEX(Loans!$T$4:$T$23, MATCH($A241, Loans!$M$4:$M$23, 0))&lt;&gt;"",
   TRIM(INDEX(Loans!$T$4:$T$23, MATCH($A241, Loans!$M$4:$M$23, 0)))
   =TRIM(INDEX('Properties &amp; Ind Income'!$C$3:$C$12, D$227))
 ), "Y", ""), "")</f>
        <v/>
      </c>
      <c r="E241" s="258" t="str" cm="1">
        <f t="array" ref="E241">IFERROR(IF(AND(
   INDEX(Loans!$T$4:$T$23, MATCH($A241, Loans!$M$4:$M$23, 0))&lt;&gt;"",
   TRIM(INDEX(Loans!$T$4:$T$23, MATCH($A241, Loans!$M$4:$M$23, 0)))
   =TRIM(INDEX('Properties &amp; Ind Income'!$C$3:$C$12, E$227))
 ), "Y", ""), "")</f>
        <v/>
      </c>
      <c r="F241" s="258" t="str" cm="1">
        <f t="array" ref="F241">IFERROR(IF(AND(
   INDEX(Loans!$T$4:$T$23, MATCH($A241, Loans!$M$4:$M$23, 0))&lt;&gt;"",
   TRIM(INDEX(Loans!$T$4:$T$23, MATCH($A241, Loans!$M$4:$M$23, 0)))
   =TRIM(INDEX('Properties &amp; Ind Income'!$C$3:$C$12, F$227))
 ), "Y", ""), "")</f>
        <v/>
      </c>
      <c r="G241" s="258" t="str" cm="1">
        <f t="array" ref="G241">IFERROR(IF(AND(
   INDEX(Loans!$T$4:$T$23, MATCH($A241, Loans!$M$4:$M$23, 0))&lt;&gt;"",
   TRIM(INDEX(Loans!$T$4:$T$23, MATCH($A241, Loans!$M$4:$M$23, 0)))
   =TRIM(INDEX('Properties &amp; Ind Income'!$C$3:$C$12, G$227))
 ), "Y", ""), "")</f>
        <v/>
      </c>
      <c r="H241" s="258" t="str" cm="1">
        <f t="array" ref="H241">IFERROR(IF(AND(
   INDEX(Loans!$T$4:$T$23, MATCH($A241, Loans!$M$4:$M$23, 0))&lt;&gt;"",
   TRIM(INDEX(Loans!$T$4:$T$23, MATCH($A241, Loans!$M$4:$M$23, 0)))
   =TRIM(INDEX('Properties &amp; Ind Income'!$C$3:$C$12, H$227))
 ), "Y", ""), "")</f>
        <v/>
      </c>
      <c r="I241" s="258" t="str" cm="1">
        <f t="array" ref="I241">IFERROR(IF(AND(
   INDEX(Loans!$T$4:$T$23, MATCH($A241, Loans!$M$4:$M$23, 0))&lt;&gt;"",
   TRIM(INDEX(Loans!$T$4:$T$23, MATCH($A241, Loans!$M$4:$M$23, 0)))
   =TRIM(INDEX('Properties &amp; Ind Income'!$C$3:$C$12, I$227))
 ), "Y", ""), "")</f>
        <v/>
      </c>
      <c r="J241" s="258" t="str" cm="1">
        <f t="array" ref="J241">IFERROR(IF(AND(
   INDEX(Loans!$T$4:$T$23, MATCH($A241, Loans!$M$4:$M$23, 0))&lt;&gt;"",
   TRIM(INDEX(Loans!$T$4:$T$23, MATCH($A241, Loans!$M$4:$M$23, 0)))
   =TRIM(INDEX('Properties &amp; Ind Income'!$C$3:$C$12, J$227))
 ), "Y", ""), "")</f>
        <v/>
      </c>
      <c r="K241" s="258" t="str" cm="1">
        <f t="array" ref="K241">IFERROR(IF(AND(
   INDEX(Loans!$T$4:$T$23, MATCH($A241, Loans!$M$4:$M$23, 0))&lt;&gt;"",
   TRIM(INDEX(Loans!$T$4:$T$23, MATCH($A241, Loans!$M$4:$M$23, 0)))
   =TRIM(INDEX('Properties &amp; Ind Income'!$C$3:$C$12, K$227))
 ), "Y", ""), "")</f>
        <v/>
      </c>
      <c r="L241" s="212">
        <f t="shared" si="65"/>
        <v>0</v>
      </c>
      <c r="M241" s="213">
        <f>SUM(S$147:S$158)</f>
        <v>0</v>
      </c>
      <c r="O241" s="212" cm="1">
        <f t="array" ref="O241">IF(B241="Y",B$125*$M241/SUMPRODUCT($M$228:$M$247,--(B$228:B$247="Y")),0)</f>
        <v>0</v>
      </c>
      <c r="P241" s="212" cm="1">
        <f t="array" ref="P241">IF(C241="Y",C$125*$M241/SUMPRODUCT($M$228:$M$247,--(C$228:C$247="Y")),0)</f>
        <v>0</v>
      </c>
      <c r="Q241" s="212" cm="1">
        <f t="array" ref="Q241">IF(D241="Y",D$125*$M241/SUMPRODUCT($M$228:$M$247,--(D$228:D$247="Y")),0)</f>
        <v>0</v>
      </c>
      <c r="R241" s="212" cm="1">
        <f t="array" ref="R241">IF(E241="Y",E$125*$M241/SUMPRODUCT($M$228:$M$247,--(E$228:E$247="Y")),0)</f>
        <v>0</v>
      </c>
      <c r="S241" s="212" cm="1">
        <f t="array" ref="S241">IF(F241="Y",F$125*$M241/SUMPRODUCT($M$228:$M$247,--(F$228:F$247="Y")),0)</f>
        <v>0</v>
      </c>
      <c r="T241" s="212" cm="1">
        <f t="array" ref="T241">IF(G241="Y",G$125*$M241/SUMPRODUCT($M$228:$M$247,--(G$228:G$247="Y")),0)</f>
        <v>0</v>
      </c>
      <c r="U241" s="212" cm="1">
        <f t="array" ref="U241">IF(H241="Y",H$125*$M241/SUMPRODUCT($M$228:$M$247,--(H$228:H$247="Y")),0)</f>
        <v>0</v>
      </c>
      <c r="V241" s="212" cm="1">
        <f t="array" ref="V241">IF(I241="Y",I$125*$M241/SUMPRODUCT($M$228:$M$247,--(I$228:I$247="Y")),0)</f>
        <v>0</v>
      </c>
      <c r="W241" s="212" cm="1">
        <f t="array" ref="W241">IF(J241="Y",J$125*$M241/SUMPRODUCT($M$228:$M$247,--(J$228:J$247="Y")),0)</f>
        <v>0</v>
      </c>
      <c r="X241" s="212" cm="1">
        <f t="array" ref="X241">IF(K241="Y",K$125*$M241/SUMPRODUCT($M$228:$M$247,--(K$228:K$247="Y")),0)</f>
        <v>0</v>
      </c>
      <c r="Y241" s="212" cm="1">
        <f t="array" ref="Y241">IF(L241="Y",L$125*$M241/SUMPRODUCT($M$228:$M$247,--(L$228:L$247="Y")),0)</f>
        <v>0</v>
      </c>
      <c r="Z241" s="212" cm="1">
        <f t="array" ref="Z241">IF(M241="Y",M$125*$M241/SUMPRODUCT($M$228:$M$247,--(M$228:M$247="Y")),0)</f>
        <v>0</v>
      </c>
      <c r="AA241" s="212" cm="1">
        <f t="array" ref="AA241">IF(N241="Y",N$125*$M241/SUMPRODUCT($M$228:$M$247,--(N$228:N$247="Y")),0)</f>
        <v>0</v>
      </c>
      <c r="AB241" s="212" cm="1">
        <f t="array" ref="AB241">IF(O241="Y",O$125*$M241/SUMPRODUCT($M$228:$M$247,--(O$228:O$247="Y")),0)</f>
        <v>0</v>
      </c>
      <c r="AC241" s="212" cm="1">
        <f t="array" ref="AC241">IF(P241="Y",P$125*$M241/SUMPRODUCT($M$228:$M$247,--(P$228:P$247="Y")),0)</f>
        <v>0</v>
      </c>
      <c r="AD241" s="212" cm="1">
        <f t="array" ref="AD241">IF(Q241="Y",Q$125*$M241/SUMPRODUCT($M$228:$M$247,--(Q$228:Q$247="Y")),0)</f>
        <v>0</v>
      </c>
      <c r="AE241" s="212" cm="1">
        <f t="array" ref="AE241">IF(R241="Y",R$125*$M241/SUMPRODUCT($M$228:$M$247,--(R$228:R$247="Y")),0)</f>
        <v>0</v>
      </c>
      <c r="AF241" s="212" cm="1">
        <f t="array" ref="AF241">IF(S241="Y",S$125*$M241/SUMPRODUCT($M$228:$M$247,--(S$228:S$247="Y")),0)</f>
        <v>0</v>
      </c>
      <c r="AG241" s="212" cm="1">
        <f t="array" ref="AG241">IF(T241="Y",T$125*$M241/SUMPRODUCT($M$228:$M$247,--(T$228:T$247="Y")),0)</f>
        <v>0</v>
      </c>
      <c r="AH241" s="212" cm="1">
        <f t="array" ref="AH241">IF(U241="Y",U$125*$M241/SUMPRODUCT($M$228:$M$247,--(U$228:U$247="Y")),0)</f>
        <v>0</v>
      </c>
    </row>
    <row r="242" spans="1:34" hidden="1" x14ac:dyDescent="0.2">
      <c r="A242" s="124">
        <f t="shared" si="66"/>
        <v>15</v>
      </c>
      <c r="B242" s="258" t="str" cm="1">
        <f t="array" ref="B242">IFERROR(IF(AND(
   INDEX(Loans!$T$4:$T$23, MATCH($A242, Loans!$M$4:$M$23, 0))&lt;&gt;"",
   TRIM(INDEX(Loans!$T$4:$T$23, MATCH($A242, Loans!$M$4:$M$23, 0)))
   =TRIM(INDEX('Properties &amp; Ind Income'!$C$3:$C$12, B$227))
 ), "Y", ""), "")</f>
        <v/>
      </c>
      <c r="C242" s="258" t="str" cm="1">
        <f t="array" ref="C242">IFERROR(IF(AND(
   INDEX(Loans!$T$4:$T$23, MATCH($A242, Loans!$M$4:$M$23, 0))&lt;&gt;"",
   TRIM(INDEX(Loans!$T$4:$T$23, MATCH($A242, Loans!$M$4:$M$23, 0)))
   =TRIM(INDEX('Properties &amp; Ind Income'!$C$3:$C$12, C$227))
 ), "Y", ""), "")</f>
        <v/>
      </c>
      <c r="D242" s="258" t="str" cm="1">
        <f t="array" ref="D242">IFERROR(IF(AND(
   INDEX(Loans!$T$4:$T$23, MATCH($A242, Loans!$M$4:$M$23, 0))&lt;&gt;"",
   TRIM(INDEX(Loans!$T$4:$T$23, MATCH($A242, Loans!$M$4:$M$23, 0)))
   =TRIM(INDEX('Properties &amp; Ind Income'!$C$3:$C$12, D$227))
 ), "Y", ""), "")</f>
        <v/>
      </c>
      <c r="E242" s="258" t="str" cm="1">
        <f t="array" ref="E242">IFERROR(IF(AND(
   INDEX(Loans!$T$4:$T$23, MATCH($A242, Loans!$M$4:$M$23, 0))&lt;&gt;"",
   TRIM(INDEX(Loans!$T$4:$T$23, MATCH($A242, Loans!$M$4:$M$23, 0)))
   =TRIM(INDEX('Properties &amp; Ind Income'!$C$3:$C$12, E$227))
 ), "Y", ""), "")</f>
        <v/>
      </c>
      <c r="F242" s="258" t="str" cm="1">
        <f t="array" ref="F242">IFERROR(IF(AND(
   INDEX(Loans!$T$4:$T$23, MATCH($A242, Loans!$M$4:$M$23, 0))&lt;&gt;"",
   TRIM(INDEX(Loans!$T$4:$T$23, MATCH($A242, Loans!$M$4:$M$23, 0)))
   =TRIM(INDEX('Properties &amp; Ind Income'!$C$3:$C$12, F$227))
 ), "Y", ""), "")</f>
        <v/>
      </c>
      <c r="G242" s="258" t="str" cm="1">
        <f t="array" ref="G242">IFERROR(IF(AND(
   INDEX(Loans!$T$4:$T$23, MATCH($A242, Loans!$M$4:$M$23, 0))&lt;&gt;"",
   TRIM(INDEX(Loans!$T$4:$T$23, MATCH($A242, Loans!$M$4:$M$23, 0)))
   =TRIM(INDEX('Properties &amp; Ind Income'!$C$3:$C$12, G$227))
 ), "Y", ""), "")</f>
        <v/>
      </c>
      <c r="H242" s="258" t="str" cm="1">
        <f t="array" ref="H242">IFERROR(IF(AND(
   INDEX(Loans!$T$4:$T$23, MATCH($A242, Loans!$M$4:$M$23, 0))&lt;&gt;"",
   TRIM(INDEX(Loans!$T$4:$T$23, MATCH($A242, Loans!$M$4:$M$23, 0)))
   =TRIM(INDEX('Properties &amp; Ind Income'!$C$3:$C$12, H$227))
 ), "Y", ""), "")</f>
        <v/>
      </c>
      <c r="I242" s="258" t="str" cm="1">
        <f t="array" ref="I242">IFERROR(IF(AND(
   INDEX(Loans!$T$4:$T$23, MATCH($A242, Loans!$M$4:$M$23, 0))&lt;&gt;"",
   TRIM(INDEX(Loans!$T$4:$T$23, MATCH($A242, Loans!$M$4:$M$23, 0)))
   =TRIM(INDEX('Properties &amp; Ind Income'!$C$3:$C$12, I$227))
 ), "Y", ""), "")</f>
        <v/>
      </c>
      <c r="J242" s="258" t="str" cm="1">
        <f t="array" ref="J242">IFERROR(IF(AND(
   INDEX(Loans!$T$4:$T$23, MATCH($A242, Loans!$M$4:$M$23, 0))&lt;&gt;"",
   TRIM(INDEX(Loans!$T$4:$T$23, MATCH($A242, Loans!$M$4:$M$23, 0)))
   =TRIM(INDEX('Properties &amp; Ind Income'!$C$3:$C$12, J$227))
 ), "Y", ""), "")</f>
        <v/>
      </c>
      <c r="K242" s="258" t="str" cm="1">
        <f t="array" ref="K242">IFERROR(IF(AND(
   INDEX(Loans!$T$4:$T$23, MATCH($A242, Loans!$M$4:$M$23, 0))&lt;&gt;"",
   TRIM(INDEX(Loans!$T$4:$T$23, MATCH($A242, Loans!$M$4:$M$23, 0)))
   =TRIM(INDEX('Properties &amp; Ind Income'!$C$3:$C$12, K$227))
 ), "Y", ""), "")</f>
        <v/>
      </c>
      <c r="L242" s="212">
        <f t="shared" si="65"/>
        <v>0</v>
      </c>
      <c r="M242" s="213">
        <f>SUM(T$147:T$158)</f>
        <v>0</v>
      </c>
      <c r="O242" s="212" cm="1">
        <f t="array" ref="O242">IF(B242="Y",B$125*$M242/SUMPRODUCT($M$228:$M$247,--(B$228:B$247="Y")),0)</f>
        <v>0</v>
      </c>
      <c r="P242" s="212" cm="1">
        <f t="array" ref="P242">IF(C242="Y",C$125*$M242/SUMPRODUCT($M$228:$M$247,--(C$228:C$247="Y")),0)</f>
        <v>0</v>
      </c>
      <c r="Q242" s="212" cm="1">
        <f t="array" ref="Q242">IF(D242="Y",D$125*$M242/SUMPRODUCT($M$228:$M$247,--(D$228:D$247="Y")),0)</f>
        <v>0</v>
      </c>
      <c r="R242" s="212" cm="1">
        <f t="array" ref="R242">IF(E242="Y",E$125*$M242/SUMPRODUCT($M$228:$M$247,--(E$228:E$247="Y")),0)</f>
        <v>0</v>
      </c>
      <c r="S242" s="212" cm="1">
        <f t="array" ref="S242">IF(F242="Y",F$125*$M242/SUMPRODUCT($M$228:$M$247,--(F$228:F$247="Y")),0)</f>
        <v>0</v>
      </c>
      <c r="T242" s="212" cm="1">
        <f t="array" ref="T242">IF(G242="Y",G$125*$M242/SUMPRODUCT($M$228:$M$247,--(G$228:G$247="Y")),0)</f>
        <v>0</v>
      </c>
      <c r="U242" s="212" cm="1">
        <f t="array" ref="U242">IF(H242="Y",H$125*$M242/SUMPRODUCT($M$228:$M$247,--(H$228:H$247="Y")),0)</f>
        <v>0</v>
      </c>
      <c r="V242" s="212" cm="1">
        <f t="array" ref="V242">IF(I242="Y",I$125*$M242/SUMPRODUCT($M$228:$M$247,--(I$228:I$247="Y")),0)</f>
        <v>0</v>
      </c>
      <c r="W242" s="212" cm="1">
        <f t="array" ref="W242">IF(J242="Y",J$125*$M242/SUMPRODUCT($M$228:$M$247,--(J$228:J$247="Y")),0)</f>
        <v>0</v>
      </c>
      <c r="X242" s="212" cm="1">
        <f t="array" ref="X242">IF(K242="Y",K$125*$M242/SUMPRODUCT($M$228:$M$247,--(K$228:K$247="Y")),0)</f>
        <v>0</v>
      </c>
      <c r="Y242" s="212" cm="1">
        <f t="array" ref="Y242">IF(L242="Y",L$125*$M242/SUMPRODUCT($M$228:$M$247,--(L$228:L$247="Y")),0)</f>
        <v>0</v>
      </c>
      <c r="Z242" s="212" cm="1">
        <f t="array" ref="Z242">IF(M242="Y",M$125*$M242/SUMPRODUCT($M$228:$M$247,--(M$228:M$247="Y")),0)</f>
        <v>0</v>
      </c>
      <c r="AA242" s="212" cm="1">
        <f t="array" ref="AA242">IF(N242="Y",N$125*$M242/SUMPRODUCT($M$228:$M$247,--(N$228:N$247="Y")),0)</f>
        <v>0</v>
      </c>
      <c r="AB242" s="212" cm="1">
        <f t="array" ref="AB242">IF(O242="Y",O$125*$M242/SUMPRODUCT($M$228:$M$247,--(O$228:O$247="Y")),0)</f>
        <v>0</v>
      </c>
      <c r="AC242" s="212" cm="1">
        <f t="array" ref="AC242">IF(P242="Y",P$125*$M242/SUMPRODUCT($M$228:$M$247,--(P$228:P$247="Y")),0)</f>
        <v>0</v>
      </c>
      <c r="AD242" s="212" cm="1">
        <f t="array" ref="AD242">IF(Q242="Y",Q$125*$M242/SUMPRODUCT($M$228:$M$247,--(Q$228:Q$247="Y")),0)</f>
        <v>0</v>
      </c>
      <c r="AE242" s="212" cm="1">
        <f t="array" ref="AE242">IF(R242="Y",R$125*$M242/SUMPRODUCT($M$228:$M$247,--(R$228:R$247="Y")),0)</f>
        <v>0</v>
      </c>
      <c r="AF242" s="212" cm="1">
        <f t="array" ref="AF242">IF(S242="Y",S$125*$M242/SUMPRODUCT($M$228:$M$247,--(S$228:S$247="Y")),0)</f>
        <v>0</v>
      </c>
      <c r="AG242" s="212" cm="1">
        <f t="array" ref="AG242">IF(T242="Y",T$125*$M242/SUMPRODUCT($M$228:$M$247,--(T$228:T$247="Y")),0)</f>
        <v>0</v>
      </c>
      <c r="AH242" s="212" cm="1">
        <f t="array" ref="AH242">IF(U242="Y",U$125*$M242/SUMPRODUCT($M$228:$M$247,--(U$228:U$247="Y")),0)</f>
        <v>0</v>
      </c>
    </row>
    <row r="243" spans="1:34" hidden="1" x14ac:dyDescent="0.2">
      <c r="A243" s="124">
        <f t="shared" si="66"/>
        <v>16</v>
      </c>
      <c r="B243" s="258" t="str" cm="1">
        <f t="array" ref="B243">IFERROR(IF(AND(
   INDEX(Loans!$T$4:$T$23, MATCH($A243, Loans!$M$4:$M$23, 0))&lt;&gt;"",
   TRIM(INDEX(Loans!$T$4:$T$23, MATCH($A243, Loans!$M$4:$M$23, 0)))
   =TRIM(INDEX('Properties &amp; Ind Income'!$C$3:$C$12, B$227))
 ), "Y", ""), "")</f>
        <v/>
      </c>
      <c r="C243" s="258" t="str" cm="1">
        <f t="array" ref="C243">IFERROR(IF(AND(
   INDEX(Loans!$T$4:$T$23, MATCH($A243, Loans!$M$4:$M$23, 0))&lt;&gt;"",
   TRIM(INDEX(Loans!$T$4:$T$23, MATCH($A243, Loans!$M$4:$M$23, 0)))
   =TRIM(INDEX('Properties &amp; Ind Income'!$C$3:$C$12, C$227))
 ), "Y", ""), "")</f>
        <v/>
      </c>
      <c r="D243" s="258" t="str" cm="1">
        <f t="array" ref="D243">IFERROR(IF(AND(
   INDEX(Loans!$T$4:$T$23, MATCH($A243, Loans!$M$4:$M$23, 0))&lt;&gt;"",
   TRIM(INDEX(Loans!$T$4:$T$23, MATCH($A243, Loans!$M$4:$M$23, 0)))
   =TRIM(INDEX('Properties &amp; Ind Income'!$C$3:$C$12, D$227))
 ), "Y", ""), "")</f>
        <v/>
      </c>
      <c r="E243" s="258" t="str" cm="1">
        <f t="array" ref="E243">IFERROR(IF(AND(
   INDEX(Loans!$T$4:$T$23, MATCH($A243, Loans!$M$4:$M$23, 0))&lt;&gt;"",
   TRIM(INDEX(Loans!$T$4:$T$23, MATCH($A243, Loans!$M$4:$M$23, 0)))
   =TRIM(INDEX('Properties &amp; Ind Income'!$C$3:$C$12, E$227))
 ), "Y", ""), "")</f>
        <v/>
      </c>
      <c r="F243" s="258" t="str" cm="1">
        <f t="array" ref="F243">IFERROR(IF(AND(
   INDEX(Loans!$T$4:$T$23, MATCH($A243, Loans!$M$4:$M$23, 0))&lt;&gt;"",
   TRIM(INDEX(Loans!$T$4:$T$23, MATCH($A243, Loans!$M$4:$M$23, 0)))
   =TRIM(INDEX('Properties &amp; Ind Income'!$C$3:$C$12, F$227))
 ), "Y", ""), "")</f>
        <v/>
      </c>
      <c r="G243" s="258" t="str" cm="1">
        <f t="array" ref="G243">IFERROR(IF(AND(
   INDEX(Loans!$T$4:$T$23, MATCH($A243, Loans!$M$4:$M$23, 0))&lt;&gt;"",
   TRIM(INDEX(Loans!$T$4:$T$23, MATCH($A243, Loans!$M$4:$M$23, 0)))
   =TRIM(INDEX('Properties &amp; Ind Income'!$C$3:$C$12, G$227))
 ), "Y", ""), "")</f>
        <v/>
      </c>
      <c r="H243" s="258" t="str" cm="1">
        <f t="array" ref="H243">IFERROR(IF(AND(
   INDEX(Loans!$T$4:$T$23, MATCH($A243, Loans!$M$4:$M$23, 0))&lt;&gt;"",
   TRIM(INDEX(Loans!$T$4:$T$23, MATCH($A243, Loans!$M$4:$M$23, 0)))
   =TRIM(INDEX('Properties &amp; Ind Income'!$C$3:$C$12, H$227))
 ), "Y", ""), "")</f>
        <v/>
      </c>
      <c r="I243" s="258" t="str" cm="1">
        <f t="array" ref="I243">IFERROR(IF(AND(
   INDEX(Loans!$T$4:$T$23, MATCH($A243, Loans!$M$4:$M$23, 0))&lt;&gt;"",
   TRIM(INDEX(Loans!$T$4:$T$23, MATCH($A243, Loans!$M$4:$M$23, 0)))
   =TRIM(INDEX('Properties &amp; Ind Income'!$C$3:$C$12, I$227))
 ), "Y", ""), "")</f>
        <v/>
      </c>
      <c r="J243" s="258" t="str" cm="1">
        <f t="array" ref="J243">IFERROR(IF(AND(
   INDEX(Loans!$T$4:$T$23, MATCH($A243, Loans!$M$4:$M$23, 0))&lt;&gt;"",
   TRIM(INDEX(Loans!$T$4:$T$23, MATCH($A243, Loans!$M$4:$M$23, 0)))
   =TRIM(INDEX('Properties &amp; Ind Income'!$C$3:$C$12, J$227))
 ), "Y", ""), "")</f>
        <v/>
      </c>
      <c r="K243" s="258" t="str" cm="1">
        <f t="array" ref="K243">IFERROR(IF(AND(
   INDEX(Loans!$T$4:$T$23, MATCH($A243, Loans!$M$4:$M$23, 0))&lt;&gt;"",
   TRIM(INDEX(Loans!$T$4:$T$23, MATCH($A243, Loans!$M$4:$M$23, 0)))
   =TRIM(INDEX('Properties &amp; Ind Income'!$C$3:$C$12, K$227))
 ), "Y", ""), "")</f>
        <v/>
      </c>
      <c r="L243" s="212">
        <f t="shared" si="65"/>
        <v>0</v>
      </c>
      <c r="M243" s="213">
        <f>SUM(U$147:U$158)</f>
        <v>0</v>
      </c>
      <c r="O243" s="212" cm="1">
        <f t="array" ref="O243">IF(B243="Y",B$125*$M243/SUMPRODUCT($M$228:$M$247,--(B$228:B$247="Y")),0)</f>
        <v>0</v>
      </c>
      <c r="P243" s="212" cm="1">
        <f t="array" ref="P243">IF(C243="Y",C$125*$M243/SUMPRODUCT($M$228:$M$247,--(C$228:C$247="Y")),0)</f>
        <v>0</v>
      </c>
      <c r="Q243" s="212" cm="1">
        <f t="array" ref="Q243">IF(D243="Y",D$125*$M243/SUMPRODUCT($M$228:$M$247,--(D$228:D$247="Y")),0)</f>
        <v>0</v>
      </c>
      <c r="R243" s="212" cm="1">
        <f t="array" ref="R243">IF(E243="Y",E$125*$M243/SUMPRODUCT($M$228:$M$247,--(E$228:E$247="Y")),0)</f>
        <v>0</v>
      </c>
      <c r="S243" s="212" cm="1">
        <f t="array" ref="S243">IF(F243="Y",F$125*$M243/SUMPRODUCT($M$228:$M$247,--(F$228:F$247="Y")),0)</f>
        <v>0</v>
      </c>
      <c r="T243" s="212" cm="1">
        <f t="array" ref="T243">IF(G243="Y",G$125*$M243/SUMPRODUCT($M$228:$M$247,--(G$228:G$247="Y")),0)</f>
        <v>0</v>
      </c>
      <c r="U243" s="212" cm="1">
        <f t="array" ref="U243">IF(H243="Y",H$125*$M243/SUMPRODUCT($M$228:$M$247,--(H$228:H$247="Y")),0)</f>
        <v>0</v>
      </c>
      <c r="V243" s="212" cm="1">
        <f t="array" ref="V243">IF(I243="Y",I$125*$M243/SUMPRODUCT($M$228:$M$247,--(I$228:I$247="Y")),0)</f>
        <v>0</v>
      </c>
      <c r="W243" s="212" cm="1">
        <f t="array" ref="W243">IF(J243="Y",J$125*$M243/SUMPRODUCT($M$228:$M$247,--(J$228:J$247="Y")),0)</f>
        <v>0</v>
      </c>
      <c r="X243" s="212" cm="1">
        <f t="array" ref="X243">IF(K243="Y",K$125*$M243/SUMPRODUCT($M$228:$M$247,--(K$228:K$247="Y")),0)</f>
        <v>0</v>
      </c>
      <c r="Y243" s="212" cm="1">
        <f t="array" ref="Y243">IF(L243="Y",L$125*$M243/SUMPRODUCT($M$228:$M$247,--(L$228:L$247="Y")),0)</f>
        <v>0</v>
      </c>
      <c r="Z243" s="212" cm="1">
        <f t="array" ref="Z243">IF(M243="Y",M$125*$M243/SUMPRODUCT($M$228:$M$247,--(M$228:M$247="Y")),0)</f>
        <v>0</v>
      </c>
      <c r="AA243" s="212" cm="1">
        <f t="array" ref="AA243">IF(N243="Y",N$125*$M243/SUMPRODUCT($M$228:$M$247,--(N$228:N$247="Y")),0)</f>
        <v>0</v>
      </c>
      <c r="AB243" s="212" cm="1">
        <f t="array" ref="AB243">IF(O243="Y",O$125*$M243/SUMPRODUCT($M$228:$M$247,--(O$228:O$247="Y")),0)</f>
        <v>0</v>
      </c>
      <c r="AC243" s="212" cm="1">
        <f t="array" ref="AC243">IF(P243="Y",P$125*$M243/SUMPRODUCT($M$228:$M$247,--(P$228:P$247="Y")),0)</f>
        <v>0</v>
      </c>
      <c r="AD243" s="212" cm="1">
        <f t="array" ref="AD243">IF(Q243="Y",Q$125*$M243/SUMPRODUCT($M$228:$M$247,--(Q$228:Q$247="Y")),0)</f>
        <v>0</v>
      </c>
      <c r="AE243" s="212" cm="1">
        <f t="array" ref="AE243">IF(R243="Y",R$125*$M243/SUMPRODUCT($M$228:$M$247,--(R$228:R$247="Y")),0)</f>
        <v>0</v>
      </c>
      <c r="AF243" s="212" cm="1">
        <f t="array" ref="AF243">IF(S243="Y",S$125*$M243/SUMPRODUCT($M$228:$M$247,--(S$228:S$247="Y")),0)</f>
        <v>0</v>
      </c>
      <c r="AG243" s="212" cm="1">
        <f t="array" ref="AG243">IF(T243="Y",T$125*$M243/SUMPRODUCT($M$228:$M$247,--(T$228:T$247="Y")),0)</f>
        <v>0</v>
      </c>
      <c r="AH243" s="212" cm="1">
        <f t="array" ref="AH243">IF(U243="Y",U$125*$M243/SUMPRODUCT($M$228:$M$247,--(U$228:U$247="Y")),0)</f>
        <v>0</v>
      </c>
    </row>
    <row r="244" spans="1:34" hidden="1" x14ac:dyDescent="0.2">
      <c r="A244" s="124">
        <f t="shared" si="66"/>
        <v>17</v>
      </c>
      <c r="B244" s="258" t="str" cm="1">
        <f t="array" ref="B244">IFERROR(IF(AND(
   INDEX(Loans!$T$4:$T$23, MATCH($A244, Loans!$M$4:$M$23, 0))&lt;&gt;"",
   TRIM(INDEX(Loans!$T$4:$T$23, MATCH($A244, Loans!$M$4:$M$23, 0)))
   =TRIM(INDEX('Properties &amp; Ind Income'!$C$3:$C$12, B$227))
 ), "Y", ""), "")</f>
        <v/>
      </c>
      <c r="C244" s="258" t="str" cm="1">
        <f t="array" ref="C244">IFERROR(IF(AND(
   INDEX(Loans!$T$4:$T$23, MATCH($A244, Loans!$M$4:$M$23, 0))&lt;&gt;"",
   TRIM(INDEX(Loans!$T$4:$T$23, MATCH($A244, Loans!$M$4:$M$23, 0)))
   =TRIM(INDEX('Properties &amp; Ind Income'!$C$3:$C$12, C$227))
 ), "Y", ""), "")</f>
        <v/>
      </c>
      <c r="D244" s="258" t="str" cm="1">
        <f t="array" ref="D244">IFERROR(IF(AND(
   INDEX(Loans!$T$4:$T$23, MATCH($A244, Loans!$M$4:$M$23, 0))&lt;&gt;"",
   TRIM(INDEX(Loans!$T$4:$T$23, MATCH($A244, Loans!$M$4:$M$23, 0)))
   =TRIM(INDEX('Properties &amp; Ind Income'!$C$3:$C$12, D$227))
 ), "Y", ""), "")</f>
        <v/>
      </c>
      <c r="E244" s="258" t="str" cm="1">
        <f t="array" ref="E244">IFERROR(IF(AND(
   INDEX(Loans!$T$4:$T$23, MATCH($A244, Loans!$M$4:$M$23, 0))&lt;&gt;"",
   TRIM(INDEX(Loans!$T$4:$T$23, MATCH($A244, Loans!$M$4:$M$23, 0)))
   =TRIM(INDEX('Properties &amp; Ind Income'!$C$3:$C$12, E$227))
 ), "Y", ""), "")</f>
        <v/>
      </c>
      <c r="F244" s="258" t="str" cm="1">
        <f t="array" ref="F244">IFERROR(IF(AND(
   INDEX(Loans!$T$4:$T$23, MATCH($A244, Loans!$M$4:$M$23, 0))&lt;&gt;"",
   TRIM(INDEX(Loans!$T$4:$T$23, MATCH($A244, Loans!$M$4:$M$23, 0)))
   =TRIM(INDEX('Properties &amp; Ind Income'!$C$3:$C$12, F$227))
 ), "Y", ""), "")</f>
        <v/>
      </c>
      <c r="G244" s="258" t="str" cm="1">
        <f t="array" ref="G244">IFERROR(IF(AND(
   INDEX(Loans!$T$4:$T$23, MATCH($A244, Loans!$M$4:$M$23, 0))&lt;&gt;"",
   TRIM(INDEX(Loans!$T$4:$T$23, MATCH($A244, Loans!$M$4:$M$23, 0)))
   =TRIM(INDEX('Properties &amp; Ind Income'!$C$3:$C$12, G$227))
 ), "Y", ""), "")</f>
        <v/>
      </c>
      <c r="H244" s="258" t="str" cm="1">
        <f t="array" ref="H244">IFERROR(IF(AND(
   INDEX(Loans!$T$4:$T$23, MATCH($A244, Loans!$M$4:$M$23, 0))&lt;&gt;"",
   TRIM(INDEX(Loans!$T$4:$T$23, MATCH($A244, Loans!$M$4:$M$23, 0)))
   =TRIM(INDEX('Properties &amp; Ind Income'!$C$3:$C$12, H$227))
 ), "Y", ""), "")</f>
        <v/>
      </c>
      <c r="I244" s="258" t="str" cm="1">
        <f t="array" ref="I244">IFERROR(IF(AND(
   INDEX(Loans!$T$4:$T$23, MATCH($A244, Loans!$M$4:$M$23, 0))&lt;&gt;"",
   TRIM(INDEX(Loans!$T$4:$T$23, MATCH($A244, Loans!$M$4:$M$23, 0)))
   =TRIM(INDEX('Properties &amp; Ind Income'!$C$3:$C$12, I$227))
 ), "Y", ""), "")</f>
        <v/>
      </c>
      <c r="J244" s="258" t="str" cm="1">
        <f t="array" ref="J244">IFERROR(IF(AND(
   INDEX(Loans!$T$4:$T$23, MATCH($A244, Loans!$M$4:$M$23, 0))&lt;&gt;"",
   TRIM(INDEX(Loans!$T$4:$T$23, MATCH($A244, Loans!$M$4:$M$23, 0)))
   =TRIM(INDEX('Properties &amp; Ind Income'!$C$3:$C$12, J$227))
 ), "Y", ""), "")</f>
        <v/>
      </c>
      <c r="K244" s="258" t="str" cm="1">
        <f t="array" ref="K244">IFERROR(IF(AND(
   INDEX(Loans!$T$4:$T$23, MATCH($A244, Loans!$M$4:$M$23, 0))&lt;&gt;"",
   TRIM(INDEX(Loans!$T$4:$T$23, MATCH($A244, Loans!$M$4:$M$23, 0)))
   =TRIM(INDEX('Properties &amp; Ind Income'!$C$3:$C$12, K$227))
 ), "Y", ""), "")</f>
        <v/>
      </c>
      <c r="L244" s="212">
        <f t="shared" si="65"/>
        <v>0</v>
      </c>
      <c r="M244" s="213">
        <f>SUM(V$147:V$158)</f>
        <v>0</v>
      </c>
      <c r="O244" s="212" cm="1">
        <f t="array" ref="O244">IF(B244="Y",B$125*$M244/SUMPRODUCT($M$228:$M$247,--(B$228:B$247="Y")),0)</f>
        <v>0</v>
      </c>
      <c r="P244" s="212" cm="1">
        <f t="array" ref="P244">IF(C244="Y",C$125*$M244/SUMPRODUCT($M$228:$M$247,--(C$228:C$247="Y")),0)</f>
        <v>0</v>
      </c>
      <c r="Q244" s="212" cm="1">
        <f t="array" ref="Q244">IF(D244="Y",D$125*$M244/SUMPRODUCT($M$228:$M$247,--(D$228:D$247="Y")),0)</f>
        <v>0</v>
      </c>
      <c r="R244" s="212" cm="1">
        <f t="array" ref="R244">IF(E244="Y",E$125*$M244/SUMPRODUCT($M$228:$M$247,--(E$228:E$247="Y")),0)</f>
        <v>0</v>
      </c>
      <c r="S244" s="212" cm="1">
        <f t="array" ref="S244">IF(F244="Y",F$125*$M244/SUMPRODUCT($M$228:$M$247,--(F$228:F$247="Y")),0)</f>
        <v>0</v>
      </c>
      <c r="T244" s="212" cm="1">
        <f t="array" ref="T244">IF(G244="Y",G$125*$M244/SUMPRODUCT($M$228:$M$247,--(G$228:G$247="Y")),0)</f>
        <v>0</v>
      </c>
      <c r="U244" s="212" cm="1">
        <f t="array" ref="U244">IF(H244="Y",H$125*$M244/SUMPRODUCT($M$228:$M$247,--(H$228:H$247="Y")),0)</f>
        <v>0</v>
      </c>
      <c r="V244" s="212" cm="1">
        <f t="array" ref="V244">IF(I244="Y",I$125*$M244/SUMPRODUCT($M$228:$M$247,--(I$228:I$247="Y")),0)</f>
        <v>0</v>
      </c>
      <c r="W244" s="212" cm="1">
        <f t="array" ref="W244">IF(J244="Y",J$125*$M244/SUMPRODUCT($M$228:$M$247,--(J$228:J$247="Y")),0)</f>
        <v>0</v>
      </c>
      <c r="X244" s="212" cm="1">
        <f t="array" ref="X244">IF(K244="Y",K$125*$M244/SUMPRODUCT($M$228:$M$247,--(K$228:K$247="Y")),0)</f>
        <v>0</v>
      </c>
      <c r="Y244" s="212" cm="1">
        <f t="array" ref="Y244">IF(L244="Y",L$125*$M244/SUMPRODUCT($M$228:$M$247,--(L$228:L$247="Y")),0)</f>
        <v>0</v>
      </c>
      <c r="Z244" s="212" cm="1">
        <f t="array" ref="Z244">IF(M244="Y",M$125*$M244/SUMPRODUCT($M$228:$M$247,--(M$228:M$247="Y")),0)</f>
        <v>0</v>
      </c>
      <c r="AA244" s="212" cm="1">
        <f t="array" ref="AA244">IF(N244="Y",N$125*$M244/SUMPRODUCT($M$228:$M$247,--(N$228:N$247="Y")),0)</f>
        <v>0</v>
      </c>
      <c r="AB244" s="212" cm="1">
        <f t="array" ref="AB244">IF(O244="Y",O$125*$M244/SUMPRODUCT($M$228:$M$247,--(O$228:O$247="Y")),0)</f>
        <v>0</v>
      </c>
      <c r="AC244" s="212" cm="1">
        <f t="array" ref="AC244">IF(P244="Y",P$125*$M244/SUMPRODUCT($M$228:$M$247,--(P$228:P$247="Y")),0)</f>
        <v>0</v>
      </c>
      <c r="AD244" s="212" cm="1">
        <f t="array" ref="AD244">IF(Q244="Y",Q$125*$M244/SUMPRODUCT($M$228:$M$247,--(Q$228:Q$247="Y")),0)</f>
        <v>0</v>
      </c>
      <c r="AE244" s="212" cm="1">
        <f t="array" ref="AE244">IF(R244="Y",R$125*$M244/SUMPRODUCT($M$228:$M$247,--(R$228:R$247="Y")),0)</f>
        <v>0</v>
      </c>
      <c r="AF244" s="212" cm="1">
        <f t="array" ref="AF244">IF(S244="Y",S$125*$M244/SUMPRODUCT($M$228:$M$247,--(S$228:S$247="Y")),0)</f>
        <v>0</v>
      </c>
      <c r="AG244" s="212" cm="1">
        <f t="array" ref="AG244">IF(T244="Y",T$125*$M244/SUMPRODUCT($M$228:$M$247,--(T$228:T$247="Y")),0)</f>
        <v>0</v>
      </c>
      <c r="AH244" s="212" cm="1">
        <f t="array" ref="AH244">IF(U244="Y",U$125*$M244/SUMPRODUCT($M$228:$M$247,--(U$228:U$247="Y")),0)</f>
        <v>0</v>
      </c>
    </row>
    <row r="245" spans="1:34" hidden="1" x14ac:dyDescent="0.2">
      <c r="A245" s="124">
        <f t="shared" si="66"/>
        <v>18</v>
      </c>
      <c r="B245" s="258" t="str" cm="1">
        <f t="array" ref="B245">IFERROR(IF(AND(
   INDEX(Loans!$T$4:$T$23, MATCH($A245, Loans!$M$4:$M$23, 0))&lt;&gt;"",
   TRIM(INDEX(Loans!$T$4:$T$23, MATCH($A245, Loans!$M$4:$M$23, 0)))
   =TRIM(INDEX('Properties &amp; Ind Income'!$C$3:$C$12, B$227))
 ), "Y", ""), "")</f>
        <v/>
      </c>
      <c r="C245" s="258" t="str" cm="1">
        <f t="array" ref="C245">IFERROR(IF(AND(
   INDEX(Loans!$T$4:$T$23, MATCH($A245, Loans!$M$4:$M$23, 0))&lt;&gt;"",
   TRIM(INDEX(Loans!$T$4:$T$23, MATCH($A245, Loans!$M$4:$M$23, 0)))
   =TRIM(INDEX('Properties &amp; Ind Income'!$C$3:$C$12, C$227))
 ), "Y", ""), "")</f>
        <v/>
      </c>
      <c r="D245" s="258" t="str" cm="1">
        <f t="array" ref="D245">IFERROR(IF(AND(
   INDEX(Loans!$T$4:$T$23, MATCH($A245, Loans!$M$4:$M$23, 0))&lt;&gt;"",
   TRIM(INDEX(Loans!$T$4:$T$23, MATCH($A245, Loans!$M$4:$M$23, 0)))
   =TRIM(INDEX('Properties &amp; Ind Income'!$C$3:$C$12, D$227))
 ), "Y", ""), "")</f>
        <v/>
      </c>
      <c r="E245" s="258" t="str" cm="1">
        <f t="array" ref="E245">IFERROR(IF(AND(
   INDEX(Loans!$T$4:$T$23, MATCH($A245, Loans!$M$4:$M$23, 0))&lt;&gt;"",
   TRIM(INDEX(Loans!$T$4:$T$23, MATCH($A245, Loans!$M$4:$M$23, 0)))
   =TRIM(INDEX('Properties &amp; Ind Income'!$C$3:$C$12, E$227))
 ), "Y", ""), "")</f>
        <v/>
      </c>
      <c r="F245" s="258" t="str" cm="1">
        <f t="array" ref="F245">IFERROR(IF(AND(
   INDEX(Loans!$T$4:$T$23, MATCH($A245, Loans!$M$4:$M$23, 0))&lt;&gt;"",
   TRIM(INDEX(Loans!$T$4:$T$23, MATCH($A245, Loans!$M$4:$M$23, 0)))
   =TRIM(INDEX('Properties &amp; Ind Income'!$C$3:$C$12, F$227))
 ), "Y", ""), "")</f>
        <v/>
      </c>
      <c r="G245" s="258" t="str" cm="1">
        <f t="array" ref="G245">IFERROR(IF(AND(
   INDEX(Loans!$T$4:$T$23, MATCH($A245, Loans!$M$4:$M$23, 0))&lt;&gt;"",
   TRIM(INDEX(Loans!$T$4:$T$23, MATCH($A245, Loans!$M$4:$M$23, 0)))
   =TRIM(INDEX('Properties &amp; Ind Income'!$C$3:$C$12, G$227))
 ), "Y", ""), "")</f>
        <v/>
      </c>
      <c r="H245" s="258" t="str" cm="1">
        <f t="array" ref="H245">IFERROR(IF(AND(
   INDEX(Loans!$T$4:$T$23, MATCH($A245, Loans!$M$4:$M$23, 0))&lt;&gt;"",
   TRIM(INDEX(Loans!$T$4:$T$23, MATCH($A245, Loans!$M$4:$M$23, 0)))
   =TRIM(INDEX('Properties &amp; Ind Income'!$C$3:$C$12, H$227))
 ), "Y", ""), "")</f>
        <v/>
      </c>
      <c r="I245" s="258" t="str" cm="1">
        <f t="array" ref="I245">IFERROR(IF(AND(
   INDEX(Loans!$T$4:$T$23, MATCH($A245, Loans!$M$4:$M$23, 0))&lt;&gt;"",
   TRIM(INDEX(Loans!$T$4:$T$23, MATCH($A245, Loans!$M$4:$M$23, 0)))
   =TRIM(INDEX('Properties &amp; Ind Income'!$C$3:$C$12, I$227))
 ), "Y", ""), "")</f>
        <v/>
      </c>
      <c r="J245" s="258" t="str" cm="1">
        <f t="array" ref="J245">IFERROR(IF(AND(
   INDEX(Loans!$T$4:$T$23, MATCH($A245, Loans!$M$4:$M$23, 0))&lt;&gt;"",
   TRIM(INDEX(Loans!$T$4:$T$23, MATCH($A245, Loans!$M$4:$M$23, 0)))
   =TRIM(INDEX('Properties &amp; Ind Income'!$C$3:$C$12, J$227))
 ), "Y", ""), "")</f>
        <v/>
      </c>
      <c r="K245" s="258" t="str" cm="1">
        <f t="array" ref="K245">IFERROR(IF(AND(
   INDEX(Loans!$T$4:$T$23, MATCH($A245, Loans!$M$4:$M$23, 0))&lt;&gt;"",
   TRIM(INDEX(Loans!$T$4:$T$23, MATCH($A245, Loans!$M$4:$M$23, 0)))
   =TRIM(INDEX('Properties &amp; Ind Income'!$C$3:$C$12, K$227))
 ), "Y", ""), "")</f>
        <v/>
      </c>
      <c r="L245" s="212">
        <f t="shared" si="65"/>
        <v>0</v>
      </c>
      <c r="M245" s="213">
        <f>SUM(W$147:W$158)</f>
        <v>0</v>
      </c>
      <c r="O245" s="212" cm="1">
        <f t="array" ref="O245">IF(B245="Y",B$125*$M245/SUMPRODUCT($M$228:$M$247,--(B$228:B$247="Y")),0)</f>
        <v>0</v>
      </c>
      <c r="P245" s="212" cm="1">
        <f t="array" ref="P245">IF(C245="Y",C$125*$M245/SUMPRODUCT($M$228:$M$247,--(C$228:C$247="Y")),0)</f>
        <v>0</v>
      </c>
      <c r="Q245" s="212" cm="1">
        <f t="array" ref="Q245">IF(D245="Y",D$125*$M245/SUMPRODUCT($M$228:$M$247,--(D$228:D$247="Y")),0)</f>
        <v>0</v>
      </c>
      <c r="R245" s="212" cm="1">
        <f t="array" ref="R245">IF(E245="Y",E$125*$M245/SUMPRODUCT($M$228:$M$247,--(E$228:E$247="Y")),0)</f>
        <v>0</v>
      </c>
      <c r="S245" s="212" cm="1">
        <f t="array" ref="S245">IF(F245="Y",F$125*$M245/SUMPRODUCT($M$228:$M$247,--(F$228:F$247="Y")),0)</f>
        <v>0</v>
      </c>
      <c r="T245" s="212" cm="1">
        <f t="array" ref="T245">IF(G245="Y",G$125*$M245/SUMPRODUCT($M$228:$M$247,--(G$228:G$247="Y")),0)</f>
        <v>0</v>
      </c>
      <c r="U245" s="212" cm="1">
        <f t="array" ref="U245">IF(H245="Y",H$125*$M245/SUMPRODUCT($M$228:$M$247,--(H$228:H$247="Y")),0)</f>
        <v>0</v>
      </c>
      <c r="V245" s="212" cm="1">
        <f t="array" ref="V245">IF(I245="Y",I$125*$M245/SUMPRODUCT($M$228:$M$247,--(I$228:I$247="Y")),0)</f>
        <v>0</v>
      </c>
      <c r="W245" s="212" cm="1">
        <f t="array" ref="W245">IF(J245="Y",J$125*$M245/SUMPRODUCT($M$228:$M$247,--(J$228:J$247="Y")),0)</f>
        <v>0</v>
      </c>
      <c r="X245" s="212" cm="1">
        <f t="array" ref="X245">IF(K245="Y",K$125*$M245/SUMPRODUCT($M$228:$M$247,--(K$228:K$247="Y")),0)</f>
        <v>0</v>
      </c>
      <c r="Y245" s="212" cm="1">
        <f t="array" ref="Y245">IF(L245="Y",L$125*$M245/SUMPRODUCT($M$228:$M$247,--(L$228:L$247="Y")),0)</f>
        <v>0</v>
      </c>
      <c r="Z245" s="212" cm="1">
        <f t="array" ref="Z245">IF(M245="Y",M$125*$M245/SUMPRODUCT($M$228:$M$247,--(M$228:M$247="Y")),0)</f>
        <v>0</v>
      </c>
      <c r="AA245" s="212" cm="1">
        <f t="array" ref="AA245">IF(N245="Y",N$125*$M245/SUMPRODUCT($M$228:$M$247,--(N$228:N$247="Y")),0)</f>
        <v>0</v>
      </c>
      <c r="AB245" s="212" cm="1">
        <f t="array" ref="AB245">IF(O245="Y",O$125*$M245/SUMPRODUCT($M$228:$M$247,--(O$228:O$247="Y")),0)</f>
        <v>0</v>
      </c>
      <c r="AC245" s="212" cm="1">
        <f t="array" ref="AC245">IF(P245="Y",P$125*$M245/SUMPRODUCT($M$228:$M$247,--(P$228:P$247="Y")),0)</f>
        <v>0</v>
      </c>
      <c r="AD245" s="212" cm="1">
        <f t="array" ref="AD245">IF(Q245="Y",Q$125*$M245/SUMPRODUCT($M$228:$M$247,--(Q$228:Q$247="Y")),0)</f>
        <v>0</v>
      </c>
      <c r="AE245" s="212" cm="1">
        <f t="array" ref="AE245">IF(R245="Y",R$125*$M245/SUMPRODUCT($M$228:$M$247,--(R$228:R$247="Y")),0)</f>
        <v>0</v>
      </c>
      <c r="AF245" s="212" cm="1">
        <f t="array" ref="AF245">IF(S245="Y",S$125*$M245/SUMPRODUCT($M$228:$M$247,--(S$228:S$247="Y")),0)</f>
        <v>0</v>
      </c>
      <c r="AG245" s="212" cm="1">
        <f t="array" ref="AG245">IF(T245="Y",T$125*$M245/SUMPRODUCT($M$228:$M$247,--(T$228:T$247="Y")),0)</f>
        <v>0</v>
      </c>
      <c r="AH245" s="212" cm="1">
        <f t="array" ref="AH245">IF(U245="Y",U$125*$M245/SUMPRODUCT($M$228:$M$247,--(U$228:U$247="Y")),0)</f>
        <v>0</v>
      </c>
    </row>
    <row r="246" spans="1:34" hidden="1" x14ac:dyDescent="0.2">
      <c r="A246" s="124">
        <f t="shared" si="66"/>
        <v>19</v>
      </c>
      <c r="B246" s="258" t="str" cm="1">
        <f t="array" ref="B246">IFERROR(IF(AND(
   INDEX(Loans!$T$4:$T$23, MATCH($A246, Loans!$M$4:$M$23, 0))&lt;&gt;"",
   TRIM(INDEX(Loans!$T$4:$T$23, MATCH($A246, Loans!$M$4:$M$23, 0)))
   =TRIM(INDEX('Properties &amp; Ind Income'!$C$3:$C$12, B$227))
 ), "Y", ""), "")</f>
        <v/>
      </c>
      <c r="C246" s="258" t="str" cm="1">
        <f t="array" ref="C246">IFERROR(IF(AND(
   INDEX(Loans!$T$4:$T$23, MATCH($A246, Loans!$M$4:$M$23, 0))&lt;&gt;"",
   TRIM(INDEX(Loans!$T$4:$T$23, MATCH($A246, Loans!$M$4:$M$23, 0)))
   =TRIM(INDEX('Properties &amp; Ind Income'!$C$3:$C$12, C$227))
 ), "Y", ""), "")</f>
        <v/>
      </c>
      <c r="D246" s="258" t="str" cm="1">
        <f t="array" ref="D246">IFERROR(IF(AND(
   INDEX(Loans!$T$4:$T$23, MATCH($A246, Loans!$M$4:$M$23, 0))&lt;&gt;"",
   TRIM(INDEX(Loans!$T$4:$T$23, MATCH($A246, Loans!$M$4:$M$23, 0)))
   =TRIM(INDEX('Properties &amp; Ind Income'!$C$3:$C$12, D$227))
 ), "Y", ""), "")</f>
        <v/>
      </c>
      <c r="E246" s="258" t="str" cm="1">
        <f t="array" ref="E246">IFERROR(IF(AND(
   INDEX(Loans!$T$4:$T$23, MATCH($A246, Loans!$M$4:$M$23, 0))&lt;&gt;"",
   TRIM(INDEX(Loans!$T$4:$T$23, MATCH($A246, Loans!$M$4:$M$23, 0)))
   =TRIM(INDEX('Properties &amp; Ind Income'!$C$3:$C$12, E$227))
 ), "Y", ""), "")</f>
        <v/>
      </c>
      <c r="F246" s="258" t="str" cm="1">
        <f t="array" ref="F246">IFERROR(IF(AND(
   INDEX(Loans!$T$4:$T$23, MATCH($A246, Loans!$M$4:$M$23, 0))&lt;&gt;"",
   TRIM(INDEX(Loans!$T$4:$T$23, MATCH($A246, Loans!$M$4:$M$23, 0)))
   =TRIM(INDEX('Properties &amp; Ind Income'!$C$3:$C$12, F$227))
 ), "Y", ""), "")</f>
        <v/>
      </c>
      <c r="G246" s="258" t="str" cm="1">
        <f t="array" ref="G246">IFERROR(IF(AND(
   INDEX(Loans!$T$4:$T$23, MATCH($A246, Loans!$M$4:$M$23, 0))&lt;&gt;"",
   TRIM(INDEX(Loans!$T$4:$T$23, MATCH($A246, Loans!$M$4:$M$23, 0)))
   =TRIM(INDEX('Properties &amp; Ind Income'!$C$3:$C$12, G$227))
 ), "Y", ""), "")</f>
        <v/>
      </c>
      <c r="H246" s="258" t="str" cm="1">
        <f t="array" ref="H246">IFERROR(IF(AND(
   INDEX(Loans!$T$4:$T$23, MATCH($A246, Loans!$M$4:$M$23, 0))&lt;&gt;"",
   TRIM(INDEX(Loans!$T$4:$T$23, MATCH($A246, Loans!$M$4:$M$23, 0)))
   =TRIM(INDEX('Properties &amp; Ind Income'!$C$3:$C$12, H$227))
 ), "Y", ""), "")</f>
        <v/>
      </c>
      <c r="I246" s="258" t="str" cm="1">
        <f t="array" ref="I246">IFERROR(IF(AND(
   INDEX(Loans!$T$4:$T$23, MATCH($A246, Loans!$M$4:$M$23, 0))&lt;&gt;"",
   TRIM(INDEX(Loans!$T$4:$T$23, MATCH($A246, Loans!$M$4:$M$23, 0)))
   =TRIM(INDEX('Properties &amp; Ind Income'!$C$3:$C$12, I$227))
 ), "Y", ""), "")</f>
        <v/>
      </c>
      <c r="J246" s="258" t="str" cm="1">
        <f t="array" ref="J246">IFERROR(IF(AND(
   INDEX(Loans!$T$4:$T$23, MATCH($A246, Loans!$M$4:$M$23, 0))&lt;&gt;"",
   TRIM(INDEX(Loans!$T$4:$T$23, MATCH($A246, Loans!$M$4:$M$23, 0)))
   =TRIM(INDEX('Properties &amp; Ind Income'!$C$3:$C$12, J$227))
 ), "Y", ""), "")</f>
        <v/>
      </c>
      <c r="K246" s="258" t="str" cm="1">
        <f t="array" ref="K246">IFERROR(IF(AND(
   INDEX(Loans!$T$4:$T$23, MATCH($A246, Loans!$M$4:$M$23, 0))&lt;&gt;"",
   TRIM(INDEX(Loans!$T$4:$T$23, MATCH($A246, Loans!$M$4:$M$23, 0)))
   =TRIM(INDEX('Properties &amp; Ind Income'!$C$3:$C$12, K$227))
 ), "Y", ""), "")</f>
        <v/>
      </c>
      <c r="L246" s="212">
        <f t="shared" si="65"/>
        <v>0</v>
      </c>
      <c r="M246" s="213">
        <f>SUM(X$147:X$158)</f>
        <v>0</v>
      </c>
      <c r="O246" s="212" cm="1">
        <f t="array" ref="O246">IF(B246="Y",B$125*$M246/SUMPRODUCT($M$228:$M$247,--(B$228:B$247="Y")),0)</f>
        <v>0</v>
      </c>
      <c r="P246" s="212" cm="1">
        <f t="array" ref="P246">IF(C246="Y",C$125*$M246/SUMPRODUCT($M$228:$M$247,--(C$228:C$247="Y")),0)</f>
        <v>0</v>
      </c>
      <c r="Q246" s="212" cm="1">
        <f t="array" ref="Q246">IF(D246="Y",D$125*$M246/SUMPRODUCT($M$228:$M$247,--(D$228:D$247="Y")),0)</f>
        <v>0</v>
      </c>
      <c r="R246" s="212" cm="1">
        <f t="array" ref="R246">IF(E246="Y",E$125*$M246/SUMPRODUCT($M$228:$M$247,--(E$228:E$247="Y")),0)</f>
        <v>0</v>
      </c>
      <c r="S246" s="212" cm="1">
        <f t="array" ref="S246">IF(F246="Y",F$125*$M246/SUMPRODUCT($M$228:$M$247,--(F$228:F$247="Y")),0)</f>
        <v>0</v>
      </c>
      <c r="T246" s="212" cm="1">
        <f t="array" ref="T246">IF(G246="Y",G$125*$M246/SUMPRODUCT($M$228:$M$247,--(G$228:G$247="Y")),0)</f>
        <v>0</v>
      </c>
      <c r="U246" s="212" cm="1">
        <f t="array" ref="U246">IF(H246="Y",H$125*$M246/SUMPRODUCT($M$228:$M$247,--(H$228:H$247="Y")),0)</f>
        <v>0</v>
      </c>
      <c r="V246" s="212" cm="1">
        <f t="array" ref="V246">IF(I246="Y",I$125*$M246/SUMPRODUCT($M$228:$M$247,--(I$228:I$247="Y")),0)</f>
        <v>0</v>
      </c>
      <c r="W246" s="212" cm="1">
        <f t="array" ref="W246">IF(J246="Y",J$125*$M246/SUMPRODUCT($M$228:$M$247,--(J$228:J$247="Y")),0)</f>
        <v>0</v>
      </c>
      <c r="X246" s="212" cm="1">
        <f t="array" ref="X246">IF(K246="Y",K$125*$M246/SUMPRODUCT($M$228:$M$247,--(K$228:K$247="Y")),0)</f>
        <v>0</v>
      </c>
      <c r="Y246" s="212" cm="1">
        <f t="array" ref="Y246">IF(L246="Y",L$125*$M246/SUMPRODUCT($M$228:$M$247,--(L$228:L$247="Y")),0)</f>
        <v>0</v>
      </c>
      <c r="Z246" s="212" cm="1">
        <f t="array" ref="Z246">IF(M246="Y",M$125*$M246/SUMPRODUCT($M$228:$M$247,--(M$228:M$247="Y")),0)</f>
        <v>0</v>
      </c>
      <c r="AA246" s="212" cm="1">
        <f t="array" ref="AA246">IF(N246="Y",N$125*$M246/SUMPRODUCT($M$228:$M$247,--(N$228:N$247="Y")),0)</f>
        <v>0</v>
      </c>
      <c r="AB246" s="212" cm="1">
        <f t="array" ref="AB246">IF(O246="Y",O$125*$M246/SUMPRODUCT($M$228:$M$247,--(O$228:O$247="Y")),0)</f>
        <v>0</v>
      </c>
      <c r="AC246" s="212" cm="1">
        <f t="array" ref="AC246">IF(P246="Y",P$125*$M246/SUMPRODUCT($M$228:$M$247,--(P$228:P$247="Y")),0)</f>
        <v>0</v>
      </c>
      <c r="AD246" s="212" cm="1">
        <f t="array" ref="AD246">IF(Q246="Y",Q$125*$M246/SUMPRODUCT($M$228:$M$247,--(Q$228:Q$247="Y")),0)</f>
        <v>0</v>
      </c>
      <c r="AE246" s="212" cm="1">
        <f t="array" ref="AE246">IF(R246="Y",R$125*$M246/SUMPRODUCT($M$228:$M$247,--(R$228:R$247="Y")),0)</f>
        <v>0</v>
      </c>
      <c r="AF246" s="212" cm="1">
        <f t="array" ref="AF246">IF(S246="Y",S$125*$M246/SUMPRODUCT($M$228:$M$247,--(S$228:S$247="Y")),0)</f>
        <v>0</v>
      </c>
      <c r="AG246" s="212" cm="1">
        <f t="array" ref="AG246">IF(T246="Y",T$125*$M246/SUMPRODUCT($M$228:$M$247,--(T$228:T$247="Y")),0)</f>
        <v>0</v>
      </c>
      <c r="AH246" s="212" cm="1">
        <f t="array" ref="AH246">IF(U246="Y",U$125*$M246/SUMPRODUCT($M$228:$M$247,--(U$228:U$247="Y")),0)</f>
        <v>0</v>
      </c>
    </row>
    <row r="247" spans="1:34" ht="13.5" hidden="1" thickBot="1" x14ac:dyDescent="0.25">
      <c r="A247" s="134">
        <f t="shared" si="66"/>
        <v>20</v>
      </c>
      <c r="B247" s="258" t="str" cm="1">
        <f t="array" ref="B247">IFERROR(IF(AND(
   INDEX(Loans!$T$4:$T$23, MATCH($A247, Loans!$M$4:$M$23, 0))&lt;&gt;"",
   TRIM(INDEX(Loans!$T$4:$T$23, MATCH($A247, Loans!$M$4:$M$23, 0)))
   =TRIM(INDEX('Properties &amp; Ind Income'!$C$3:$C$12, B$227))
 ), "Y", ""), "")</f>
        <v/>
      </c>
      <c r="C247" s="258" t="str" cm="1">
        <f t="array" ref="C247">IFERROR(IF(AND(
   INDEX(Loans!$T$4:$T$23, MATCH($A247, Loans!$M$4:$M$23, 0))&lt;&gt;"",
   TRIM(INDEX(Loans!$T$4:$T$23, MATCH($A247, Loans!$M$4:$M$23, 0)))
   =TRIM(INDEX('Properties &amp; Ind Income'!$C$3:$C$12, C$227))
 ), "Y", ""), "")</f>
        <v/>
      </c>
      <c r="D247" s="258" t="str" cm="1">
        <f t="array" ref="D247">IFERROR(IF(AND(
   INDEX(Loans!$T$4:$T$23, MATCH($A247, Loans!$M$4:$M$23, 0))&lt;&gt;"",
   TRIM(INDEX(Loans!$T$4:$T$23, MATCH($A247, Loans!$M$4:$M$23, 0)))
   =TRIM(INDEX('Properties &amp; Ind Income'!$C$3:$C$12, D$227))
 ), "Y", ""), "")</f>
        <v/>
      </c>
      <c r="E247" s="258" t="str" cm="1">
        <f t="array" ref="E247">IFERROR(IF(AND(
   INDEX(Loans!$T$4:$T$23, MATCH($A247, Loans!$M$4:$M$23, 0))&lt;&gt;"",
   TRIM(INDEX(Loans!$T$4:$T$23, MATCH($A247, Loans!$M$4:$M$23, 0)))
   =TRIM(INDEX('Properties &amp; Ind Income'!$C$3:$C$12, E$227))
 ), "Y", ""), "")</f>
        <v/>
      </c>
      <c r="F247" s="258" t="str" cm="1">
        <f t="array" ref="F247">IFERROR(IF(AND(
   INDEX(Loans!$T$4:$T$23, MATCH($A247, Loans!$M$4:$M$23, 0))&lt;&gt;"",
   TRIM(INDEX(Loans!$T$4:$T$23, MATCH($A247, Loans!$M$4:$M$23, 0)))
   =TRIM(INDEX('Properties &amp; Ind Income'!$C$3:$C$12, F$227))
 ), "Y", ""), "")</f>
        <v/>
      </c>
      <c r="G247" s="258" t="str" cm="1">
        <f t="array" ref="G247">IFERROR(IF(AND(
   INDEX(Loans!$T$4:$T$23, MATCH($A247, Loans!$M$4:$M$23, 0))&lt;&gt;"",
   TRIM(INDEX(Loans!$T$4:$T$23, MATCH($A247, Loans!$M$4:$M$23, 0)))
   =TRIM(INDEX('Properties &amp; Ind Income'!$C$3:$C$12, G$227))
 ), "Y", ""), "")</f>
        <v/>
      </c>
      <c r="H247" s="258" t="str" cm="1">
        <f t="array" ref="H247">IFERROR(IF(AND(
   INDEX(Loans!$T$4:$T$23, MATCH($A247, Loans!$M$4:$M$23, 0))&lt;&gt;"",
   TRIM(INDEX(Loans!$T$4:$T$23, MATCH($A247, Loans!$M$4:$M$23, 0)))
   =TRIM(INDEX('Properties &amp; Ind Income'!$C$3:$C$12, H$227))
 ), "Y", ""), "")</f>
        <v/>
      </c>
      <c r="I247" s="258" t="str" cm="1">
        <f t="array" ref="I247">IFERROR(IF(AND(
   INDEX(Loans!$T$4:$T$23, MATCH($A247, Loans!$M$4:$M$23, 0))&lt;&gt;"",
   TRIM(INDEX(Loans!$T$4:$T$23, MATCH($A247, Loans!$M$4:$M$23, 0)))
   =TRIM(INDEX('Properties &amp; Ind Income'!$C$3:$C$12, I$227))
 ), "Y", ""), "")</f>
        <v/>
      </c>
      <c r="J247" s="258" t="str" cm="1">
        <f t="array" ref="J247">IFERROR(IF(AND(
   INDEX(Loans!$T$4:$T$23, MATCH($A247, Loans!$M$4:$M$23, 0))&lt;&gt;"",
   TRIM(INDEX(Loans!$T$4:$T$23, MATCH($A247, Loans!$M$4:$M$23, 0)))
   =TRIM(INDEX('Properties &amp; Ind Income'!$C$3:$C$12, J$227))
 ), "Y", ""), "")</f>
        <v/>
      </c>
      <c r="K247" s="258" t="str" cm="1">
        <f t="array" ref="K247">IFERROR(IF(AND(
   INDEX(Loans!$T$4:$T$23, MATCH($A247, Loans!$M$4:$M$23, 0))&lt;&gt;"",
   TRIM(INDEX(Loans!$T$4:$T$23, MATCH($A247, Loans!$M$4:$M$23, 0)))
   =TRIM(INDEX('Properties &amp; Ind Income'!$C$3:$C$12, K$227))
 ), "Y", ""), "")</f>
        <v/>
      </c>
      <c r="L247" s="212">
        <f t="shared" si="65"/>
        <v>0</v>
      </c>
      <c r="M247" s="213">
        <f>SUM(Y$147:Y$158)</f>
        <v>0</v>
      </c>
      <c r="O247" s="212" cm="1">
        <f t="array" ref="O247">IF(B247="Y",B$125*$M247/SUMPRODUCT($M$228:$M$247,--(B$228:B$247="Y")),0)</f>
        <v>0</v>
      </c>
      <c r="P247" s="212" cm="1">
        <f t="array" ref="P247">IF(C247="Y",C$125*$M247/SUMPRODUCT($M$228:$M$247,--(C$228:C$247="Y")),0)</f>
        <v>0</v>
      </c>
      <c r="Q247" s="212" cm="1">
        <f t="array" ref="Q247">IF(D247="Y",D$125*$M247/SUMPRODUCT($M$228:$M$247,--(D$228:D$247="Y")),0)</f>
        <v>0</v>
      </c>
      <c r="R247" s="212" cm="1">
        <f t="array" ref="R247">IF(E247="Y",E$125*$M247/SUMPRODUCT($M$228:$M$247,--(E$228:E$247="Y")),0)</f>
        <v>0</v>
      </c>
      <c r="S247" s="212" cm="1">
        <f t="array" ref="S247">IF(F247="Y",F$125*$M247/SUMPRODUCT($M$228:$M$247,--(F$228:F$247="Y")),0)</f>
        <v>0</v>
      </c>
      <c r="T247" s="212" cm="1">
        <f t="array" ref="T247">IF(G247="Y",G$125*$M247/SUMPRODUCT($M$228:$M$247,--(G$228:G$247="Y")),0)</f>
        <v>0</v>
      </c>
      <c r="U247" s="212" cm="1">
        <f t="array" ref="U247">IF(H247="Y",H$125*$M247/SUMPRODUCT($M$228:$M$247,--(H$228:H$247="Y")),0)</f>
        <v>0</v>
      </c>
      <c r="V247" s="212" cm="1">
        <f t="array" ref="V247">IF(I247="Y",I$125*$M247/SUMPRODUCT($M$228:$M$247,--(I$228:I$247="Y")),0)</f>
        <v>0</v>
      </c>
      <c r="W247" s="212" cm="1">
        <f t="array" ref="W247">IF(J247="Y",J$125*$M247/SUMPRODUCT($M$228:$M$247,--(J$228:J$247="Y")),0)</f>
        <v>0</v>
      </c>
      <c r="X247" s="212" cm="1">
        <f t="array" ref="X247">IF(K247="Y",K$125*$M247/SUMPRODUCT($M$228:$M$247,--(K$228:K$247="Y")),0)</f>
        <v>0</v>
      </c>
      <c r="Y247" s="212" cm="1">
        <f t="array" ref="Y247">IF(L247="Y",L$125*$M247/SUMPRODUCT($M$228:$M$247,--(L$228:L$247="Y")),0)</f>
        <v>0</v>
      </c>
      <c r="Z247" s="212" cm="1">
        <f t="array" ref="Z247">IF(M247="Y",M$125*$M247/SUMPRODUCT($M$228:$M$247,--(M$228:M$247="Y")),0)</f>
        <v>0</v>
      </c>
      <c r="AA247" s="212" cm="1">
        <f t="array" ref="AA247">IF(N247="Y",N$125*$M247/SUMPRODUCT($M$228:$M$247,--(N$228:N$247="Y")),0)</f>
        <v>0</v>
      </c>
      <c r="AB247" s="212" cm="1">
        <f t="array" ref="AB247">IF(O247="Y",O$125*$M247/SUMPRODUCT($M$228:$M$247,--(O$228:O$247="Y")),0)</f>
        <v>0</v>
      </c>
      <c r="AC247" s="212" cm="1">
        <f t="array" ref="AC247">IF(P247="Y",P$125*$M247/SUMPRODUCT($M$228:$M$247,--(P$228:P$247="Y")),0)</f>
        <v>0</v>
      </c>
      <c r="AD247" s="212" cm="1">
        <f t="array" ref="AD247">IF(Q247="Y",Q$125*$M247/SUMPRODUCT($M$228:$M$247,--(Q$228:Q$247="Y")),0)</f>
        <v>0</v>
      </c>
      <c r="AE247" s="212" cm="1">
        <f t="array" ref="AE247">IF(R247="Y",R$125*$M247/SUMPRODUCT($M$228:$M$247,--(R$228:R$247="Y")),0)</f>
        <v>0</v>
      </c>
      <c r="AF247" s="212" cm="1">
        <f t="array" ref="AF247">IF(S247="Y",S$125*$M247/SUMPRODUCT($M$228:$M$247,--(S$228:S$247="Y")),0)</f>
        <v>0</v>
      </c>
      <c r="AG247" s="212" cm="1">
        <f t="array" ref="AG247">IF(T247="Y",T$125*$M247/SUMPRODUCT($M$228:$M$247,--(T$228:T$247="Y")),0)</f>
        <v>0</v>
      </c>
      <c r="AH247" s="212" cm="1">
        <f t="array" ref="AH247">IF(U247="Y",U$125*$M247/SUMPRODUCT($M$228:$M$247,--(U$228:U$247="Y")),0)</f>
        <v>0</v>
      </c>
    </row>
    <row r="248" spans="1:34" hidden="1" x14ac:dyDescent="0.2"/>
    <row r="249" spans="1:34" hidden="1" x14ac:dyDescent="0.2"/>
    <row r="250" spans="1:34" hidden="1" x14ac:dyDescent="0.2"/>
    <row r="251" spans="1:34" hidden="1" x14ac:dyDescent="0.2"/>
    <row r="252" spans="1:34" hidden="1" x14ac:dyDescent="0.2"/>
    <row r="253" spans="1:34" hidden="1" x14ac:dyDescent="0.2"/>
    <row r="254" spans="1:34" hidden="1" x14ac:dyDescent="0.2"/>
    <row r="255" spans="1:34" hidden="1" x14ac:dyDescent="0.2"/>
    <row r="256" spans="1:34"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54" ht="15" customHeight="1" x14ac:dyDescent="0.2"/>
    <row r="2955" ht="85.5" customHeight="1" x14ac:dyDescent="0.2"/>
    <row r="2956" ht="85.5" customHeight="1" x14ac:dyDescent="0.2"/>
    <row r="2957" ht="85.5" customHeight="1" x14ac:dyDescent="0.2"/>
    <row r="2958" ht="85.5" customHeight="1" x14ac:dyDescent="0.2"/>
    <row r="2959" ht="85.5" customHeight="1" x14ac:dyDescent="0.2"/>
    <row r="2960" ht="85.5" customHeight="1" x14ac:dyDescent="0.2"/>
    <row r="2961" ht="85.5" customHeight="1" x14ac:dyDescent="0.2"/>
    <row r="2962" ht="85.5" customHeight="1" x14ac:dyDescent="0.2"/>
    <row r="2963" ht="85.5" customHeight="1" x14ac:dyDescent="0.2"/>
  </sheetData>
  <sheetProtection algorithmName="SHA-512" hashValue="qQdSaA6ZlYERanPBRLoFXVmsGrRcRVkmjtiaPGbFik3KLyL+k3MRAEC7kiwh2AY5Rksz7APrYLvUKIRmrUJ98w==" saltValue="MzNhQJ1HuISqSgD27Bchzw==" spinCount="100000" sheet="1" objects="1" scenarios="1"/>
  <mergeCells count="1">
    <mergeCell ref="M2:N2"/>
  </mergeCells>
  <conditionalFormatting sqref="A221">
    <cfRule type="expression" dxfId="213" priority="12">
      <formula>OR(Branding="Paramount")</formula>
    </cfRule>
    <cfRule type="expression" dxfId="212" priority="11">
      <formula>OR(Branding="YBR")</formula>
    </cfRule>
    <cfRule type="expression" dxfId="211" priority="7">
      <formula>OR(Branding="Thrive")</formula>
    </cfRule>
    <cfRule type="expression" dxfId="210" priority="8">
      <formula>OR(Branding="Rate Money")</formula>
    </cfRule>
    <cfRule type="expression" dxfId="209" priority="9">
      <formula>OR(Branding="Connective")</formula>
    </cfRule>
    <cfRule type="expression" dxfId="208" priority="10">
      <formula>OR(Branding="AFG Align")</formula>
    </cfRule>
  </conditionalFormatting>
  <conditionalFormatting sqref="A227">
    <cfRule type="expression" dxfId="207" priority="2">
      <formula>OR(Branding="Rate Money")</formula>
    </cfRule>
    <cfRule type="expression" dxfId="206" priority="3">
      <formula>OR(Branding="Connective")</formula>
    </cfRule>
    <cfRule type="expression" dxfId="205" priority="4">
      <formula>OR(Branding="AFG Align")</formula>
    </cfRule>
    <cfRule type="expression" dxfId="204" priority="5">
      <formula>OR(Branding="YBR")</formula>
    </cfRule>
    <cfRule type="expression" dxfId="203" priority="6">
      <formula>OR(Branding="Paramount")</formula>
    </cfRule>
    <cfRule type="expression" dxfId="202" priority="1">
      <formula>OR(Branding="Thrive")</formula>
    </cfRule>
  </conditionalFormatting>
  <conditionalFormatting sqref="A12:C23">
    <cfRule type="expression" dxfId="201" priority="103">
      <formula>A12&lt;&gt;""</formula>
    </cfRule>
  </conditionalFormatting>
  <conditionalFormatting sqref="A3:K3 M3:T3 V3:Z3 A10:F11 A27:C28">
    <cfRule type="expression" dxfId="199" priority="43">
      <formula>OR(Branding="AFG Align")</formula>
    </cfRule>
    <cfRule type="expression" dxfId="198" priority="44">
      <formula>OR(Branding="YBR")</formula>
    </cfRule>
    <cfRule type="expression" dxfId="197" priority="45">
      <formula>OR(Branding="Paramount")</formula>
    </cfRule>
    <cfRule type="expression" dxfId="196" priority="40">
      <formula>OR(Branding="Thrive")</formula>
    </cfRule>
    <cfRule type="expression" dxfId="195" priority="41">
      <formula>OR(Branding="Rate Money")</formula>
    </cfRule>
    <cfRule type="expression" dxfId="194" priority="42">
      <formula>OR(Branding="Connective")</formula>
    </cfRule>
  </conditionalFormatting>
  <conditionalFormatting sqref="A29:W40">
    <cfRule type="expression" dxfId="193" priority="51">
      <formula>$A29=""</formula>
    </cfRule>
  </conditionalFormatting>
  <conditionalFormatting sqref="D12:D23">
    <cfRule type="expression" dxfId="192" priority="102">
      <formula>$A12=""</formula>
    </cfRule>
  </conditionalFormatting>
  <conditionalFormatting sqref="D27:D40">
    <cfRule type="expression" dxfId="191" priority="115">
      <formula>$O$4=""</formula>
    </cfRule>
  </conditionalFormatting>
  <conditionalFormatting sqref="D12:G23">
    <cfRule type="expression" dxfId="190" priority="91">
      <formula>AND($A12="",D12&lt;&gt;"")</formula>
    </cfRule>
  </conditionalFormatting>
  <conditionalFormatting sqref="D25:G25">
    <cfRule type="containsText" dxfId="189" priority="95" operator="containsText" text="Allocate 100%">
      <formula>NOT(ISERROR(SEARCH("Allocate 100%",D25)))</formula>
    </cfRule>
  </conditionalFormatting>
  <conditionalFormatting sqref="D29:W40">
    <cfRule type="expression" dxfId="188" priority="50">
      <formula>AND($A29="",D29&lt;&gt;"")</formula>
    </cfRule>
  </conditionalFormatting>
  <conditionalFormatting sqref="D42:W42">
    <cfRule type="containsText" dxfId="186" priority="108" operator="containsText" text="Error">
      <formula>NOT(ISERROR(SEARCH("Error",D42)))</formula>
    </cfRule>
    <cfRule type="containsText" dxfId="185" priority="107" operator="containsText" text="Check">
      <formula>NOT(ISERROR(SEARCH("Check",D42)))</formula>
    </cfRule>
    <cfRule type="containsText" dxfId="184" priority="106" operator="containsText" text="OK">
      <formula>NOT(ISERROR(SEARCH("OK",D42)))</formula>
    </cfRule>
  </conditionalFormatting>
  <conditionalFormatting sqref="E10:E11">
    <cfRule type="expression" dxfId="183" priority="111">
      <formula>$C$5=""</formula>
    </cfRule>
  </conditionalFormatting>
  <conditionalFormatting sqref="E12:E23">
    <cfRule type="expression" dxfId="182" priority="100">
      <formula>A12=""</formula>
    </cfRule>
    <cfRule type="expression" dxfId="181" priority="101">
      <formula>$C$5=""</formula>
    </cfRule>
  </conditionalFormatting>
  <conditionalFormatting sqref="E27:E40">
    <cfRule type="expression" dxfId="180" priority="116">
      <formula>$O$5=""</formula>
    </cfRule>
  </conditionalFormatting>
  <conditionalFormatting sqref="F4:F5">
    <cfRule type="expression" dxfId="179" priority="38">
      <formula>AND(E4="P&amp;I",F4&lt;&gt;"")</formula>
    </cfRule>
    <cfRule type="expression" dxfId="178" priority="39">
      <formula>E4="P&amp;I"</formula>
    </cfRule>
  </conditionalFormatting>
  <conditionalFormatting sqref="F6:F7">
    <cfRule type="expression" dxfId="177" priority="104">
      <formula>AND(E6="P&amp;I",F6&lt;&gt;"")</formula>
    </cfRule>
    <cfRule type="expression" dxfId="176" priority="105">
      <formula>E6="P&amp;I"</formula>
    </cfRule>
  </conditionalFormatting>
  <conditionalFormatting sqref="F10:F11">
    <cfRule type="expression" dxfId="175" priority="110">
      <formula>$C$6=""</formula>
    </cfRule>
  </conditionalFormatting>
  <conditionalFormatting sqref="F12:F23">
    <cfRule type="expression" dxfId="174" priority="98">
      <formula>A12=""</formula>
    </cfRule>
    <cfRule type="expression" dxfId="173" priority="99">
      <formula>$C$6=""</formula>
    </cfRule>
  </conditionalFormatting>
  <conditionalFormatting sqref="F27:F40">
    <cfRule type="expression" dxfId="172" priority="117">
      <formula>$O$6=""</formula>
    </cfRule>
  </conditionalFormatting>
  <conditionalFormatting sqref="F4:G4">
    <cfRule type="expression" dxfId="171" priority="37">
      <formula>$H$4="NCCL"</formula>
    </cfRule>
  </conditionalFormatting>
  <conditionalFormatting sqref="F5:G5">
    <cfRule type="expression" dxfId="170" priority="36">
      <formula>$H$5="NCCL"</formula>
    </cfRule>
  </conditionalFormatting>
  <conditionalFormatting sqref="F6:G6">
    <cfRule type="expression" dxfId="169" priority="47">
      <formula>$H$6="NCCL"</formula>
    </cfRule>
  </conditionalFormatting>
  <conditionalFormatting sqref="F7:G7">
    <cfRule type="expression" dxfId="168" priority="46">
      <formula>$H$7="NCCL"</formula>
    </cfRule>
  </conditionalFormatting>
  <conditionalFormatting sqref="G10:G11">
    <cfRule type="expression" dxfId="167" priority="109">
      <formula>$C$7=""</formula>
    </cfRule>
  </conditionalFormatting>
  <conditionalFormatting sqref="G12:G23">
    <cfRule type="expression" dxfId="166" priority="96">
      <formula>$A12=""</formula>
    </cfRule>
    <cfRule type="expression" dxfId="165" priority="97">
      <formula>$C$7=""</formula>
    </cfRule>
  </conditionalFormatting>
  <conditionalFormatting sqref="G27:G40">
    <cfRule type="expression" dxfId="164" priority="118">
      <formula>$O$7=""</formula>
    </cfRule>
  </conditionalFormatting>
  <conditionalFormatting sqref="H27:H40">
    <cfRule type="expression" dxfId="162" priority="119">
      <formula>$O$8=""</formula>
    </cfRule>
  </conditionalFormatting>
  <conditionalFormatting sqref="I27:I40">
    <cfRule type="expression" dxfId="161" priority="120">
      <formula>$O$9=""</formula>
    </cfRule>
  </conditionalFormatting>
  <conditionalFormatting sqref="J27:J40">
    <cfRule type="expression" dxfId="160" priority="121">
      <formula>$O$10=""</formula>
    </cfRule>
  </conditionalFormatting>
  <conditionalFormatting sqref="J4:K4">
    <cfRule type="expression" dxfId="159" priority="35">
      <formula>OR($H$4&lt;&gt;"Residential",$I$4&lt;&gt;"Investment")</formula>
    </cfRule>
  </conditionalFormatting>
  <conditionalFormatting sqref="J5:K5">
    <cfRule type="expression" dxfId="158" priority="34">
      <formula>OR($H$5&lt;&gt;"Residential",$I$5&lt;&gt;"Investment")</formula>
    </cfRule>
  </conditionalFormatting>
  <conditionalFormatting sqref="J6:K6">
    <cfRule type="expression" dxfId="157" priority="33">
      <formula>OR($H$6&lt;&gt;"Residential",$I$6&lt;&gt;"Investment")</formula>
    </cfRule>
  </conditionalFormatting>
  <conditionalFormatting sqref="J7:K7">
    <cfRule type="expression" dxfId="156" priority="32">
      <formula>OR($H$7&lt;&gt;"Residential",$I$7&lt;&gt;"Investment")</formula>
    </cfRule>
  </conditionalFormatting>
  <conditionalFormatting sqref="K27:K40">
    <cfRule type="expression" dxfId="155" priority="122">
      <formula>$O$11=""</formula>
    </cfRule>
  </conditionalFormatting>
  <conditionalFormatting sqref="L27:L40">
    <cfRule type="expression" dxfId="154" priority="123">
      <formula>$O$12=""</formula>
    </cfRule>
  </conditionalFormatting>
  <conditionalFormatting sqref="M27:M40">
    <cfRule type="expression" dxfId="153" priority="124">
      <formula>$O$13=""</formula>
    </cfRule>
  </conditionalFormatting>
  <conditionalFormatting sqref="N27:N40">
    <cfRule type="expression" dxfId="152" priority="125">
      <formula>$O$14=""</formula>
    </cfRule>
  </conditionalFormatting>
  <conditionalFormatting sqref="O27:O40">
    <cfRule type="expression" dxfId="151" priority="126">
      <formula>$O$15=""</formula>
    </cfRule>
  </conditionalFormatting>
  <conditionalFormatting sqref="P27:P40">
    <cfRule type="expression" dxfId="150" priority="127">
      <formula>$O$16=""</formula>
    </cfRule>
  </conditionalFormatting>
  <conditionalFormatting sqref="Q27:Q40">
    <cfRule type="expression" dxfId="149" priority="128">
      <formula>$O$17=""</formula>
    </cfRule>
  </conditionalFormatting>
  <conditionalFormatting sqref="R27:R40">
    <cfRule type="expression" dxfId="148" priority="129">
      <formula>$O$18=""</formula>
    </cfRule>
  </conditionalFormatting>
  <conditionalFormatting sqref="S27:S40">
    <cfRule type="expression" dxfId="147" priority="130">
      <formula>$O$19=""</formula>
    </cfRule>
  </conditionalFormatting>
  <conditionalFormatting sqref="S4:T4">
    <cfRule type="expression" dxfId="146" priority="31">
      <formula>$R$4&lt;&gt;"Resi Investment"</formula>
    </cfRule>
  </conditionalFormatting>
  <conditionalFormatting sqref="S5:T5">
    <cfRule type="expression" dxfId="145" priority="30">
      <formula>$R$5&lt;&gt;"Resi Investment"</formula>
    </cfRule>
  </conditionalFormatting>
  <conditionalFormatting sqref="S6:T6">
    <cfRule type="expression" dxfId="144" priority="29">
      <formula>$R$6&lt;&gt;"Resi Investment"</formula>
    </cfRule>
  </conditionalFormatting>
  <conditionalFormatting sqref="S7:T7">
    <cfRule type="expression" dxfId="143" priority="28">
      <formula>$R$7&lt;&gt;"Resi Investment"</formula>
    </cfRule>
  </conditionalFormatting>
  <conditionalFormatting sqref="S8:T8">
    <cfRule type="expression" dxfId="142" priority="27">
      <formula>$R$8&lt;&gt;"Resi Investment"</formula>
    </cfRule>
  </conditionalFormatting>
  <conditionalFormatting sqref="S9:T9">
    <cfRule type="expression" dxfId="141" priority="26">
      <formula>$R$9&lt;&gt;"Resi Investment"</formula>
    </cfRule>
  </conditionalFormatting>
  <conditionalFormatting sqref="S10:T10">
    <cfRule type="expression" dxfId="140" priority="25">
      <formula>$R$10&lt;&gt;"Resi Investmtn"</formula>
    </cfRule>
  </conditionalFormatting>
  <conditionalFormatting sqref="S11:T11">
    <cfRule type="expression" dxfId="139" priority="24">
      <formula>$R$11&lt;&gt;"Resi Investment"</formula>
    </cfRule>
  </conditionalFormatting>
  <conditionalFormatting sqref="S12:T12">
    <cfRule type="expression" dxfId="138" priority="23">
      <formula>$R$12&lt;&gt;"Resi Investment"</formula>
    </cfRule>
  </conditionalFormatting>
  <conditionalFormatting sqref="S13:T13">
    <cfRule type="expression" dxfId="137" priority="22">
      <formula>$R$13&lt;&gt;"Resi Investment"</formula>
    </cfRule>
  </conditionalFormatting>
  <conditionalFormatting sqref="S14:T14">
    <cfRule type="expression" dxfId="136" priority="21">
      <formula>$R$14&lt;&gt;"Resi Investment"</formula>
    </cfRule>
  </conditionalFormatting>
  <conditionalFormatting sqref="S15:T15">
    <cfRule type="expression" dxfId="135" priority="20">
      <formula>$R$15&lt;&gt;"Resi Investment"</formula>
    </cfRule>
  </conditionalFormatting>
  <conditionalFormatting sqref="S16:T16">
    <cfRule type="expression" dxfId="134" priority="19">
      <formula>$R$16&lt;&gt;"Resi Investment"</formula>
    </cfRule>
  </conditionalFormatting>
  <conditionalFormatting sqref="S17:T17">
    <cfRule type="expression" dxfId="133" priority="18">
      <formula>$R$17&lt;&gt;"Resi Investment"</formula>
    </cfRule>
  </conditionalFormatting>
  <conditionalFormatting sqref="S18:T18">
    <cfRule type="expression" dxfId="132" priority="17">
      <formula>$R$18&lt;&gt;"Resi Investment"</formula>
    </cfRule>
  </conditionalFormatting>
  <conditionalFormatting sqref="S19:T19">
    <cfRule type="expression" dxfId="131" priority="16">
      <formula>$R$19&lt;&gt;"Resi Investment"</formula>
    </cfRule>
  </conditionalFormatting>
  <conditionalFormatting sqref="S20:T20">
    <cfRule type="expression" dxfId="130" priority="15">
      <formula>$R$20&lt;&gt;"Resi Investment"</formula>
    </cfRule>
  </conditionalFormatting>
  <conditionalFormatting sqref="S21:T21">
    <cfRule type="expression" dxfId="129" priority="14">
      <formula>$R$21&lt;&gt;"Resi Investment"</formula>
    </cfRule>
  </conditionalFormatting>
  <conditionalFormatting sqref="S22:T22">
    <cfRule type="expression" dxfId="128" priority="13">
      <formula>$R$22&lt;&gt;"Resi Investment"</formula>
    </cfRule>
  </conditionalFormatting>
  <conditionalFormatting sqref="T27:T40">
    <cfRule type="expression" dxfId="127" priority="131">
      <formula>$O$20=""</formula>
    </cfRule>
  </conditionalFormatting>
  <conditionalFormatting sqref="U27:U40">
    <cfRule type="expression" dxfId="126" priority="132">
      <formula>$O$21=""</formula>
    </cfRule>
  </conditionalFormatting>
  <conditionalFormatting sqref="V27:V40">
    <cfRule type="expression" dxfId="125" priority="133">
      <formula>$O$22=""</formula>
    </cfRule>
  </conditionalFormatting>
  <conditionalFormatting sqref="W27:W40">
    <cfRule type="expression" dxfId="124" priority="134">
      <formula>$O$23=""</formula>
    </cfRule>
  </conditionalFormatting>
  <dataValidations count="8">
    <dataValidation type="list" allowBlank="1" showInputMessage="1" showErrorMessage="1" sqref="T4:T23 K4:K7" xr:uid="{1AF82B87-2534-44AE-A587-14BB6B3745A8}">
      <formula1>$AM$2:$AM$11</formula1>
    </dataValidation>
    <dataValidation type="list" allowBlank="1" showInputMessage="1" showErrorMessage="1" sqref="R4:R23" xr:uid="{0153FC23-F6CB-4090-9ACD-95EE42B429E6}">
      <formula1>$AH$2:$AH$11</formula1>
    </dataValidation>
    <dataValidation type="list" allowBlank="1" showInputMessage="1" showErrorMessage="1" sqref="S4:S23 J4:J7" xr:uid="{D903E6B6-56ED-4856-AB8A-96D28A32911E}">
      <formula1>$O$1:$O$2</formula1>
    </dataValidation>
    <dataValidation type="list" allowBlank="1" showInputMessage="1" showErrorMessage="1" sqref="H4:H7" xr:uid="{64D81DEB-950F-48D2-A69A-3FCC6926B84D}">
      <formula1>$AG$2:$AG$7</formula1>
    </dataValidation>
    <dataValidation type="decimal" allowBlank="1" showInputMessage="1" showErrorMessage="1" error="IO Term must be between 0 and 5 years" sqref="F4:F7" xr:uid="{0A7142C2-E1AF-4A93-A5ED-3971BADCF508}">
      <formula1>0</formula1>
      <formula2>5</formula2>
    </dataValidation>
    <dataValidation type="decimal" allowBlank="1" showErrorMessage="1" error="Loan Term must be between 15 and 30 years" sqref="G4:G7" xr:uid="{5B5AFBCB-8E63-4197-9999-E77780DDDE31}">
      <formula1>0</formula1>
      <formula2>30</formula2>
    </dataValidation>
    <dataValidation type="list" allowBlank="1" showInputMessage="1" showErrorMessage="1" sqref="I4:I7" xr:uid="{C6EB963B-6B8D-46A0-9A4C-9A0D1B5814EF}">
      <formula1>$AI$2:$AI$3</formula1>
    </dataValidation>
    <dataValidation type="list" allowBlank="1" showInputMessage="1" showErrorMessage="1" sqref="E4:E7" xr:uid="{403BE392-5C70-45F0-9CF8-BCC662DF45C2}">
      <formula1>$AD$2:$AD$3</formula1>
    </dataValidation>
  </dataValidations>
  <pageMargins left="0.7" right="0.7" top="0.75" bottom="0.75" header="0.3" footer="0.3"/>
  <pageSetup scale="46"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113" id="{B994EFB9-E6FE-44C2-BFC6-ADF16C63E59A}">
            <xm:f>Applicants!$J$5="Yes"</xm:f>
            <x14:dxf>
              <font>
                <color theme="0"/>
              </font>
              <fill>
                <patternFill>
                  <bgColor theme="0"/>
                </patternFill>
              </fill>
              <border>
                <left/>
                <right/>
                <top/>
                <bottom/>
              </border>
            </x14:dxf>
          </x14:cfRule>
          <xm:sqref>A9:G24 A26:W41</xm:sqref>
        </x14:conditionalFormatting>
        <x14:conditionalFormatting xmlns:xm="http://schemas.microsoft.com/office/excel/2006/main">
          <x14:cfRule type="expression" priority="112" id="{E52BB07D-554C-435C-9487-E2211C9E2C27}">
            <xm:f>Applicants!$J$5="Yes"</xm:f>
            <x14:dxf>
              <font>
                <color theme="0"/>
              </font>
              <fill>
                <patternFill>
                  <bgColor theme="0"/>
                </patternFill>
              </fill>
            </x14:dxf>
          </x14:cfRule>
          <xm:sqref>D42:W42 D25:G25</xm:sqref>
        </x14:conditionalFormatting>
        <x14:conditionalFormatting xmlns:xm="http://schemas.microsoft.com/office/excel/2006/main">
          <x14:cfRule type="expression" priority="114" id="{6C02BBE0-9797-4088-AF1C-FFC473B9945E}">
            <xm:f>AND(Applicants!$J$5="Yes",H6="Residential")</xm:f>
            <x14:dxf>
              <fill>
                <patternFill>
                  <bgColor rgb="FFFF0000"/>
                </patternFill>
              </fill>
            </x14:dxf>
          </x14:cfRule>
          <xm:sqref>H6:H7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B9142-85FD-4F61-BD9E-EA27322D01D1}">
  <sheetPr codeName="Sheet4">
    <tabColor theme="1"/>
    <pageSetUpPr fitToPage="1"/>
  </sheetPr>
  <dimension ref="A1:T2907"/>
  <sheetViews>
    <sheetView showGridLines="0" zoomScale="90" zoomScaleNormal="100" workbookViewId="0">
      <selection activeCell="F2" sqref="F2:F12"/>
    </sheetView>
  </sheetViews>
  <sheetFormatPr defaultColWidth="14.7109375" defaultRowHeight="12.75" x14ac:dyDescent="0.2"/>
  <cols>
    <col min="1" max="1" width="15" style="3" customWidth="1"/>
    <col min="2" max="2" width="18" style="3" customWidth="1"/>
    <col min="3" max="3" width="19.5703125" style="3" customWidth="1"/>
    <col min="4" max="4" width="14.140625" style="3" customWidth="1"/>
    <col min="5" max="5" width="17" style="3" customWidth="1"/>
    <col min="6" max="6" width="15" style="3" customWidth="1"/>
    <col min="7" max="9" width="16.28515625" style="3" customWidth="1"/>
    <col min="10" max="10" width="15.140625" style="3" customWidth="1"/>
    <col min="11" max="11" width="15.28515625" style="3" customWidth="1"/>
    <col min="12" max="18" width="16.28515625" style="3" customWidth="1"/>
    <col min="19" max="16384" width="14.7109375" style="3"/>
  </cols>
  <sheetData>
    <row r="1" spans="1:20" ht="13.5" thickBot="1" x14ac:dyDescent="0.25">
      <c r="A1" s="2" t="s">
        <v>224</v>
      </c>
      <c r="E1" s="108" t="str">
        <f>IF(AND(Applicants!$J$3="Lease Doc",'Properties &amp; Ind Income'!F3=""),"Input required","")</f>
        <v/>
      </c>
      <c r="G1" s="2" t="s">
        <v>225</v>
      </c>
      <c r="T1" s="42" t="s">
        <v>226</v>
      </c>
    </row>
    <row r="2" spans="1:20" ht="13.5" thickTop="1" x14ac:dyDescent="0.2">
      <c r="A2" s="259" t="s">
        <v>222</v>
      </c>
      <c r="B2" s="8" t="s">
        <v>227</v>
      </c>
      <c r="C2" s="260" t="s">
        <v>128</v>
      </c>
      <c r="D2" s="260" t="s">
        <v>84</v>
      </c>
      <c r="E2" s="261" t="s">
        <v>228</v>
      </c>
      <c r="F2" s="831" t="s">
        <v>229</v>
      </c>
      <c r="G2" s="262"/>
      <c r="H2" s="263"/>
      <c r="I2" s="263"/>
      <c r="J2" s="13" t="s">
        <v>230</v>
      </c>
      <c r="K2" s="13"/>
      <c r="L2" s="144"/>
      <c r="M2" s="264" t="s">
        <v>231</v>
      </c>
      <c r="N2" s="13"/>
      <c r="O2" s="144"/>
      <c r="P2" s="264" t="s">
        <v>232</v>
      </c>
      <c r="Q2" s="13"/>
      <c r="R2" s="15"/>
      <c r="T2" s="42" t="s">
        <v>233</v>
      </c>
    </row>
    <row r="3" spans="1:20" x14ac:dyDescent="0.2">
      <c r="A3" s="118">
        <v>1</v>
      </c>
      <c r="B3" s="265"/>
      <c r="C3" s="265"/>
      <c r="D3" s="266"/>
      <c r="E3" s="267" t="str">
        <f>IF(D3="","",IF(AND(Applicants!$J$3="Lease Doc",F3="Tenant"),D3*(1-Assumptions!$B$15),D3*(1-Assumptions!$B$3)))</f>
        <v/>
      </c>
      <c r="F3" s="832"/>
      <c r="G3" s="147" t="s">
        <v>15</v>
      </c>
      <c r="H3" s="268" t="s">
        <v>16</v>
      </c>
      <c r="I3" s="200" t="s">
        <v>17</v>
      </c>
      <c r="J3" s="269">
        <f>DATE(YEAR(K3)-1,MONTH(K3),DAY(K3))</f>
        <v>45473</v>
      </c>
      <c r="K3" s="269">
        <f>DATE(YEAR(L3)-1,MONTH(L3),DAY(L3))</f>
        <v>45838</v>
      </c>
      <c r="L3" s="270">
        <v>46203</v>
      </c>
      <c r="M3" s="269">
        <f t="shared" ref="M3:R3" si="0">J3</f>
        <v>45473</v>
      </c>
      <c r="N3" s="269">
        <f t="shared" si="0"/>
        <v>45838</v>
      </c>
      <c r="O3" s="270">
        <f t="shared" si="0"/>
        <v>46203</v>
      </c>
      <c r="P3" s="269">
        <f t="shared" si="0"/>
        <v>45473</v>
      </c>
      <c r="Q3" s="269">
        <v>45838</v>
      </c>
      <c r="R3" s="269">
        <f t="shared" si="0"/>
        <v>46203</v>
      </c>
    </row>
    <row r="4" spans="1:20" x14ac:dyDescent="0.2">
      <c r="A4" s="124">
        <f>A3+1</f>
        <v>2</v>
      </c>
      <c r="B4" s="271"/>
      <c r="C4" s="271"/>
      <c r="D4" s="272"/>
      <c r="E4" s="267" t="str">
        <f>IF(D4="","",IF(AND(Applicants!$J$3="Lease Doc",F4="Tenant"),D4*(1-Assumptions!$B$15),D4*(1-Assumptions!$B$3)))</f>
        <v/>
      </c>
      <c r="F4" s="832"/>
      <c r="G4" s="232" t="str">
        <f>_xlfn.IFNA(INDEX(Applicants!$B$9:$B$21,MATCH(Applicants!B9,Applicants!$G$56:$G$67,0)),"")</f>
        <v/>
      </c>
      <c r="H4" s="233" t="str">
        <f>_xlfn.IFNA(IF(INDEX(Applicants!$C$9:$C$20,MATCH(G4,Applicants!$B$9:$B$20,0))="","",INDEX(Applicants!$C$9:$C$20,MATCH(G4,Applicants!$B$9:$B$20,0))),"")</f>
        <v/>
      </c>
      <c r="I4" s="273" t="str">
        <f>_xlfn.IFNA(IF(INDEX(Applicants!$D$9:$D$20,MATCH(G4,Applicants!$B$9:$B$20,0))="","",INDEX(Applicants!$D$9:$D$20,MATCH(G4,Applicants!$B$9:$B$20,0))),"")</f>
        <v/>
      </c>
      <c r="J4" s="266"/>
      <c r="K4" s="266"/>
      <c r="L4" s="266"/>
      <c r="M4" s="266"/>
      <c r="N4" s="266"/>
      <c r="O4" s="266"/>
      <c r="P4" s="266"/>
      <c r="Q4" s="266"/>
      <c r="R4" s="274"/>
    </row>
    <row r="5" spans="1:20" x14ac:dyDescent="0.2">
      <c r="A5" s="124">
        <f t="shared" ref="A5:A12" si="1">A4+1</f>
        <v>3</v>
      </c>
      <c r="B5" s="271"/>
      <c r="C5" s="271"/>
      <c r="D5" s="272"/>
      <c r="E5" s="267" t="str">
        <f>IF(D5="","",IF(AND(Applicants!$J$3="Lease Doc",F5="Tenant"),D5*(1-Assumptions!$B$15),D5*(1-Assumptions!$B$3)))</f>
        <v/>
      </c>
      <c r="F5" s="832"/>
      <c r="G5" s="33" t="str">
        <f>_xlfn.IFNA(INDEX(Applicants!$B$9:$B$21,MATCH(Applicants!B10,Applicants!$G$56:$G$67,0)),"")</f>
        <v/>
      </c>
      <c r="H5" s="57" t="str">
        <f>_xlfn.IFNA(IF(INDEX(Applicants!$C$9:$C$20,MATCH(G5,Applicants!$B$9:$B$20,0))="","",INDEX(Applicants!$C$9:$C$20,MATCH(G5,Applicants!$B$9:$B$20,0))),"")</f>
        <v/>
      </c>
      <c r="I5" s="35" t="str">
        <f>_xlfn.IFNA(IF(INDEX(Applicants!$D$9:$D$20,MATCH(G5,Applicants!$B$9:$B$20,0))="","",INDEX(Applicants!$D$9:$D$20,MATCH(G5,Applicants!$B$9:$B$20,0))),"")</f>
        <v/>
      </c>
      <c r="J5" s="272"/>
      <c r="K5" s="272"/>
      <c r="L5" s="272"/>
      <c r="M5" s="272"/>
      <c r="N5" s="272"/>
      <c r="O5" s="272"/>
      <c r="P5" s="272"/>
      <c r="Q5" s="272"/>
      <c r="R5" s="275"/>
    </row>
    <row r="6" spans="1:20" x14ac:dyDescent="0.2">
      <c r="A6" s="124">
        <f t="shared" si="1"/>
        <v>4</v>
      </c>
      <c r="B6" s="271"/>
      <c r="C6" s="271"/>
      <c r="D6" s="272"/>
      <c r="E6" s="267" t="str">
        <f>IF(D6="","",IF(AND(Applicants!$J$3="Lease Doc",F6="Tenant"),D6*(1-Assumptions!$B$15),D6*(1-Assumptions!$B$3)))</f>
        <v/>
      </c>
      <c r="F6" s="832"/>
      <c r="G6" s="33" t="str">
        <f>_xlfn.IFNA(INDEX(Applicants!$B$9:$B$21,MATCH(Applicants!B11,Applicants!$G$56:$G$67,0)),"")</f>
        <v/>
      </c>
      <c r="H6" s="57" t="str">
        <f>_xlfn.IFNA(IF(INDEX(Applicants!$C$9:$C$20,MATCH(G6,Applicants!$B$9:$B$20,0))="","",INDEX(Applicants!$C$9:$C$20,MATCH(G6,Applicants!$B$9:$B$20,0))),"")</f>
        <v/>
      </c>
      <c r="I6" s="35" t="str">
        <f>_xlfn.IFNA(IF(INDEX(Applicants!$D$9:$D$20,MATCH(G6,Applicants!$B$9:$B$20,0))="","",INDEX(Applicants!$D$9:$D$20,MATCH(G6,Applicants!$B$9:$B$20,0))),"")</f>
        <v/>
      </c>
      <c r="J6" s="272"/>
      <c r="K6" s="272"/>
      <c r="L6" s="272"/>
      <c r="M6" s="272"/>
      <c r="N6" s="272"/>
      <c r="O6" s="272"/>
      <c r="P6" s="272"/>
      <c r="Q6" s="272"/>
      <c r="R6" s="275"/>
    </row>
    <row r="7" spans="1:20" ht="13.5" thickBot="1" x14ac:dyDescent="0.25">
      <c r="A7" s="124">
        <f t="shared" si="1"/>
        <v>5</v>
      </c>
      <c r="B7" s="276"/>
      <c r="C7" s="276"/>
      <c r="D7" s="272"/>
      <c r="E7" s="267" t="str">
        <f>IF(D7="","",IF(AND(Applicants!$J$3="Lease Doc",F7="Tenant"),D7*(1-Assumptions!$B$15),D7*(1-Assumptions!$B$3)))</f>
        <v/>
      </c>
      <c r="F7" s="832"/>
      <c r="G7" s="43" t="str">
        <f>_xlfn.IFNA(INDEX(Applicants!$B$9:$B$21,MATCH(Applicants!B12,Applicants!$G$56:$G$67,0)),"")</f>
        <v/>
      </c>
      <c r="H7" s="68" t="str">
        <f>_xlfn.IFNA(IF(INDEX(Applicants!$C$9:$C$20,MATCH(G7,Applicants!$B$9:$B$20,0))="","",INDEX(Applicants!$C$9:$C$20,MATCH(G7,Applicants!$B$9:$B$20,0))),"")</f>
        <v/>
      </c>
      <c r="I7" s="45" t="str">
        <f>_xlfn.IFNA(IF(INDEX(Applicants!$D$9:$D$20,MATCH(G7,Applicants!$B$9:$B$20,0))="","",INDEX(Applicants!$D$9:$D$20,MATCH(G7,Applicants!$B$9:$B$20,0))),"")</f>
        <v/>
      </c>
      <c r="J7" s="277"/>
      <c r="K7" s="277"/>
      <c r="L7" s="277"/>
      <c r="M7" s="277"/>
      <c r="N7" s="277"/>
      <c r="O7" s="277"/>
      <c r="P7" s="277"/>
      <c r="Q7" s="277"/>
      <c r="R7" s="278"/>
    </row>
    <row r="8" spans="1:20" ht="13.5" thickTop="1" x14ac:dyDescent="0.2">
      <c r="A8" s="124">
        <f t="shared" si="1"/>
        <v>6</v>
      </c>
      <c r="B8" s="279"/>
      <c r="C8" s="279"/>
      <c r="D8" s="272"/>
      <c r="E8" s="267" t="str">
        <f>IF(D8="","",IF(AND(Applicants!$J$3="Lease Doc",F8="Tenant"),D8*(1-Assumptions!$B$15),D8*(1-Assumptions!$B$3)))</f>
        <v/>
      </c>
      <c r="F8" s="832"/>
    </row>
    <row r="9" spans="1:20" x14ac:dyDescent="0.2">
      <c r="A9" s="124">
        <f t="shared" si="1"/>
        <v>7</v>
      </c>
      <c r="B9" s="279"/>
      <c r="C9" s="279"/>
      <c r="D9" s="272"/>
      <c r="E9" s="267" t="str">
        <f>IF(D9="","",IF(AND(Applicants!$J$3="Lease Doc",F9="Tenant"),D9*(1-Assumptions!$B$15),D9*(1-Assumptions!$B$3)))</f>
        <v/>
      </c>
      <c r="F9" s="832"/>
    </row>
    <row r="10" spans="1:20" x14ac:dyDescent="0.2">
      <c r="A10" s="124">
        <f t="shared" si="1"/>
        <v>8</v>
      </c>
      <c r="B10" s="279"/>
      <c r="C10" s="279"/>
      <c r="D10" s="272"/>
      <c r="E10" s="267" t="str">
        <f>IF(D10="","",IF(AND(Applicants!$J$3="Lease Doc",F10="Tenant"),D10*(1-Assumptions!$B$15),D10*(1-Assumptions!$B$3)))</f>
        <v/>
      </c>
      <c r="F10" s="832"/>
    </row>
    <row r="11" spans="1:20" x14ac:dyDescent="0.2">
      <c r="A11" s="124">
        <f t="shared" si="1"/>
        <v>9</v>
      </c>
      <c r="B11" s="279"/>
      <c r="C11" s="279"/>
      <c r="D11" s="272"/>
      <c r="E11" s="267" t="str">
        <f>IF(D11="","",IF(AND(Applicants!$J$3="Lease Doc",F11="Tenant"),D11*(1-Assumptions!$B$15),D11*(1-Assumptions!$B$3)))</f>
        <v/>
      </c>
      <c r="F11" s="832"/>
    </row>
    <row r="12" spans="1:20" ht="13.5" thickBot="1" x14ac:dyDescent="0.25">
      <c r="A12" s="134">
        <f t="shared" si="1"/>
        <v>10</v>
      </c>
      <c r="B12" s="280"/>
      <c r="C12" s="280"/>
      <c r="D12" s="277"/>
      <c r="E12" s="281" t="str">
        <f>IF(D12="","",IF(AND(Applicants!$J$3="Lease Doc",F12="Tenant"),D12*(1-Assumptions!$B$15),D12*(1-Assumptions!$B$3)))</f>
        <v/>
      </c>
      <c r="F12" s="832"/>
    </row>
    <row r="13" spans="1:20" ht="15.75" thickTop="1" x14ac:dyDescent="0.25">
      <c r="A13" s="282"/>
      <c r="B13" s="83"/>
      <c r="C13" s="283" t="s">
        <v>111</v>
      </c>
      <c r="D13" s="202"/>
    </row>
    <row r="14" spans="1:20" x14ac:dyDescent="0.2">
      <c r="A14" s="282"/>
      <c r="B14" s="83"/>
      <c r="C14" s="284"/>
      <c r="D14" s="202"/>
    </row>
    <row r="15" spans="1:20" ht="13.5" thickBot="1" x14ac:dyDescent="0.25">
      <c r="A15" s="2" t="s">
        <v>234</v>
      </c>
      <c r="B15" s="83"/>
      <c r="D15" s="42">
        <v>1</v>
      </c>
      <c r="E15" s="42">
        <f>D15+1</f>
        <v>2</v>
      </c>
      <c r="F15" s="42">
        <f t="shared" ref="F15:M15" si="2">E15+1</f>
        <v>3</v>
      </c>
      <c r="G15" s="42">
        <f t="shared" si="2"/>
        <v>4</v>
      </c>
      <c r="H15" s="42">
        <f t="shared" si="2"/>
        <v>5</v>
      </c>
      <c r="I15" s="42">
        <f t="shared" si="2"/>
        <v>6</v>
      </c>
      <c r="J15" s="42">
        <f t="shared" si="2"/>
        <v>7</v>
      </c>
      <c r="K15" s="42">
        <f t="shared" si="2"/>
        <v>8</v>
      </c>
      <c r="L15" s="42">
        <f t="shared" si="2"/>
        <v>9</v>
      </c>
      <c r="M15" s="42">
        <f t="shared" si="2"/>
        <v>10</v>
      </c>
    </row>
    <row r="16" spans="1:20" ht="13.5" thickTop="1" x14ac:dyDescent="0.2">
      <c r="A16" s="262"/>
      <c r="B16" s="285"/>
      <c r="C16" s="263"/>
      <c r="D16" s="286" t="str">
        <f>"Property ID "&amp;D15</f>
        <v>Property ID 1</v>
      </c>
      <c r="E16" s="286" t="str">
        <f t="shared" ref="E16:M16" si="3">"Property ID "&amp;E15</f>
        <v>Property ID 2</v>
      </c>
      <c r="F16" s="286" t="str">
        <f t="shared" si="3"/>
        <v>Property ID 3</v>
      </c>
      <c r="G16" s="286" t="str">
        <f t="shared" si="3"/>
        <v>Property ID 4</v>
      </c>
      <c r="H16" s="286" t="str">
        <f t="shared" si="3"/>
        <v>Property ID 5</v>
      </c>
      <c r="I16" s="286" t="str">
        <f t="shared" si="3"/>
        <v>Property ID 6</v>
      </c>
      <c r="J16" s="286" t="str">
        <f t="shared" si="3"/>
        <v>Property ID 7</v>
      </c>
      <c r="K16" s="286" t="str">
        <f t="shared" si="3"/>
        <v>Property ID 8</v>
      </c>
      <c r="L16" s="286" t="str">
        <f t="shared" si="3"/>
        <v>Property ID 9</v>
      </c>
      <c r="M16" s="287" t="str">
        <f t="shared" si="3"/>
        <v>Property ID 10</v>
      </c>
    </row>
    <row r="17" spans="1:13" x14ac:dyDescent="0.2">
      <c r="A17" s="288" t="s">
        <v>15</v>
      </c>
      <c r="B17" s="289" t="s">
        <v>16</v>
      </c>
      <c r="C17" s="268" t="s">
        <v>17</v>
      </c>
      <c r="D17" s="290" t="str">
        <f t="shared" ref="D17:M17" si="4">IF(INDEX($B$3:$B$12,D15)="","",INDEX($B$3:$B$12,D15))</f>
        <v/>
      </c>
      <c r="E17" s="290" t="str">
        <f t="shared" si="4"/>
        <v/>
      </c>
      <c r="F17" s="290" t="str">
        <f t="shared" si="4"/>
        <v/>
      </c>
      <c r="G17" s="290" t="str">
        <f t="shared" si="4"/>
        <v/>
      </c>
      <c r="H17" s="290" t="str">
        <f t="shared" si="4"/>
        <v/>
      </c>
      <c r="I17" s="290" t="str">
        <f t="shared" si="4"/>
        <v/>
      </c>
      <c r="J17" s="290" t="str">
        <f t="shared" si="4"/>
        <v/>
      </c>
      <c r="K17" s="290" t="str">
        <f t="shared" si="4"/>
        <v/>
      </c>
      <c r="L17" s="290" t="str">
        <f t="shared" si="4"/>
        <v/>
      </c>
      <c r="M17" s="291" t="str">
        <f t="shared" si="4"/>
        <v/>
      </c>
    </row>
    <row r="18" spans="1:13" x14ac:dyDescent="0.2">
      <c r="A18" s="232" t="str">
        <f>IF(Applicants!$D9="","",Applicants!B9)</f>
        <v/>
      </c>
      <c r="B18" s="292" t="str">
        <f>IF(Applicants!$D9="","",Applicants!C9)</f>
        <v/>
      </c>
      <c r="C18" s="233" t="str">
        <f>IF(Applicants!$D9="","",Applicants!D9)</f>
        <v/>
      </c>
      <c r="D18" s="293"/>
      <c r="E18" s="293"/>
      <c r="F18" s="293"/>
      <c r="G18" s="293"/>
      <c r="H18" s="293"/>
      <c r="I18" s="293"/>
      <c r="J18" s="293"/>
      <c r="K18" s="293"/>
      <c r="L18" s="293"/>
      <c r="M18" s="294"/>
    </row>
    <row r="19" spans="1:13" x14ac:dyDescent="0.2">
      <c r="A19" s="33" t="str">
        <f>IF(Applicants!$D10="","",Applicants!B10)</f>
        <v/>
      </c>
      <c r="B19" s="57" t="str">
        <f>IF(Applicants!$D10="","",Applicants!C10)</f>
        <v/>
      </c>
      <c r="C19" s="57" t="str">
        <f>IF(Applicants!$D10="","",Applicants!D10)</f>
        <v/>
      </c>
      <c r="D19" s="295"/>
      <c r="E19" s="295"/>
      <c r="F19" s="295"/>
      <c r="G19" s="295"/>
      <c r="H19" s="295"/>
      <c r="I19" s="295"/>
      <c r="J19" s="295"/>
      <c r="K19" s="295"/>
      <c r="L19" s="295"/>
      <c r="M19" s="296"/>
    </row>
    <row r="20" spans="1:13" x14ac:dyDescent="0.2">
      <c r="A20" s="33" t="str">
        <f>IF(Applicants!$D11="","",Applicants!B11)</f>
        <v/>
      </c>
      <c r="B20" s="57" t="str">
        <f>IF(Applicants!$D11="","",Applicants!C11)</f>
        <v/>
      </c>
      <c r="C20" s="57" t="str">
        <f>IF(Applicants!$D11="","",Applicants!D11)</f>
        <v/>
      </c>
      <c r="D20" s="295"/>
      <c r="E20" s="295"/>
      <c r="F20" s="295"/>
      <c r="G20" s="295"/>
      <c r="H20" s="295"/>
      <c r="I20" s="295"/>
      <c r="J20" s="295"/>
      <c r="K20" s="295"/>
      <c r="L20" s="295"/>
      <c r="M20" s="296"/>
    </row>
    <row r="21" spans="1:13" x14ac:dyDescent="0.2">
      <c r="A21" s="33" t="str">
        <f>IF(Applicants!$D12="","",Applicants!B12)</f>
        <v/>
      </c>
      <c r="B21" s="57" t="str">
        <f>IF(Applicants!$D12="","",Applicants!C12)</f>
        <v/>
      </c>
      <c r="C21" s="57" t="str">
        <f>IF(Applicants!$D12="","",Applicants!D12)</f>
        <v/>
      </c>
      <c r="D21" s="295"/>
      <c r="E21" s="295"/>
      <c r="F21" s="295"/>
      <c r="G21" s="295"/>
      <c r="H21" s="295"/>
      <c r="I21" s="295"/>
      <c r="J21" s="295"/>
      <c r="K21" s="295"/>
      <c r="L21" s="295"/>
      <c r="M21" s="296"/>
    </row>
    <row r="22" spans="1:13" x14ac:dyDescent="0.2">
      <c r="A22" s="33" t="str">
        <f>IF(Applicants!$D13="","",Applicants!B13)</f>
        <v/>
      </c>
      <c r="B22" s="57" t="str">
        <f>IF(Applicants!$D13="","",Applicants!C13)</f>
        <v/>
      </c>
      <c r="C22" s="57" t="str">
        <f>IF(Applicants!$D13="","",Applicants!D13)</f>
        <v/>
      </c>
      <c r="D22" s="295"/>
      <c r="E22" s="295"/>
      <c r="F22" s="295"/>
      <c r="G22" s="295"/>
      <c r="H22" s="295"/>
      <c r="I22" s="295"/>
      <c r="J22" s="295"/>
      <c r="K22" s="295"/>
      <c r="L22" s="295"/>
      <c r="M22" s="296"/>
    </row>
    <row r="23" spans="1:13" x14ac:dyDescent="0.2">
      <c r="A23" s="33" t="str">
        <f>IF(Applicants!$D14="","",Applicants!B14)</f>
        <v/>
      </c>
      <c r="B23" s="57" t="str">
        <f>IF(Applicants!$D14="","",Applicants!C14)</f>
        <v/>
      </c>
      <c r="C23" s="57" t="str">
        <f>IF(Applicants!$D14="","",Applicants!D14)</f>
        <v/>
      </c>
      <c r="D23" s="295"/>
      <c r="E23" s="295"/>
      <c r="F23" s="295"/>
      <c r="G23" s="295"/>
      <c r="H23" s="295"/>
      <c r="I23" s="295"/>
      <c r="J23" s="295"/>
      <c r="K23" s="295"/>
      <c r="L23" s="295"/>
      <c r="M23" s="296"/>
    </row>
    <row r="24" spans="1:13" x14ac:dyDescent="0.2">
      <c r="A24" s="33" t="str">
        <f>IF(Applicants!$D15="","",Applicants!B15)</f>
        <v/>
      </c>
      <c r="B24" s="57" t="str">
        <f>IF(Applicants!$D15="","",Applicants!C15)</f>
        <v/>
      </c>
      <c r="C24" s="57" t="str">
        <f>IF(Applicants!$D15="","",Applicants!D15)</f>
        <v/>
      </c>
      <c r="D24" s="295"/>
      <c r="E24" s="295"/>
      <c r="F24" s="295"/>
      <c r="G24" s="295"/>
      <c r="H24" s="295"/>
      <c r="I24" s="295"/>
      <c r="J24" s="295"/>
      <c r="K24" s="295"/>
      <c r="L24" s="295"/>
      <c r="M24" s="296"/>
    </row>
    <row r="25" spans="1:13" x14ac:dyDescent="0.2">
      <c r="A25" s="33" t="str">
        <f>IF(Applicants!$D16="","",Applicants!B16)</f>
        <v/>
      </c>
      <c r="B25" s="57" t="str">
        <f>IF(Applicants!$D16="","",Applicants!C16)</f>
        <v/>
      </c>
      <c r="C25" s="57" t="str">
        <f>IF(Applicants!$D16="","",Applicants!D16)</f>
        <v/>
      </c>
      <c r="D25" s="295"/>
      <c r="E25" s="295"/>
      <c r="F25" s="295"/>
      <c r="G25" s="295"/>
      <c r="H25" s="295"/>
      <c r="I25" s="295"/>
      <c r="J25" s="295"/>
      <c r="K25" s="295"/>
      <c r="L25" s="295"/>
      <c r="M25" s="296"/>
    </row>
    <row r="26" spans="1:13" x14ac:dyDescent="0.2">
      <c r="A26" s="33" t="str">
        <f>IF(Applicants!$D17="","",Applicants!B17)</f>
        <v/>
      </c>
      <c r="B26" s="57" t="str">
        <f>IF(Applicants!$D17="","",Applicants!C17)</f>
        <v/>
      </c>
      <c r="C26" s="57" t="str">
        <f>IF(Applicants!$D17="","",Applicants!D17)</f>
        <v/>
      </c>
      <c r="D26" s="295"/>
      <c r="E26" s="295"/>
      <c r="F26" s="295"/>
      <c r="G26" s="295"/>
      <c r="H26" s="295"/>
      <c r="I26" s="295"/>
      <c r="J26" s="295"/>
      <c r="K26" s="295"/>
      <c r="L26" s="295"/>
      <c r="M26" s="296"/>
    </row>
    <row r="27" spans="1:13" x14ac:dyDescent="0.2">
      <c r="A27" s="33" t="str">
        <f>IF(Applicants!$D18="","",Applicants!B18)</f>
        <v/>
      </c>
      <c r="B27" s="57" t="str">
        <f>IF(Applicants!$D18="","",Applicants!C18)</f>
        <v/>
      </c>
      <c r="C27" s="57" t="str">
        <f>IF(Applicants!$D18="","",Applicants!D18)</f>
        <v/>
      </c>
      <c r="D27" s="295"/>
      <c r="E27" s="295"/>
      <c r="F27" s="295"/>
      <c r="G27" s="295"/>
      <c r="H27" s="295"/>
      <c r="I27" s="295"/>
      <c r="J27" s="295"/>
      <c r="K27" s="295"/>
      <c r="L27" s="295"/>
      <c r="M27" s="296"/>
    </row>
    <row r="28" spans="1:13" x14ac:dyDescent="0.2">
      <c r="A28" s="33" t="str">
        <f>IF(Applicants!$D19="","",Applicants!B19)</f>
        <v/>
      </c>
      <c r="B28" s="57" t="str">
        <f>IF(Applicants!$D19="","",Applicants!C19)</f>
        <v/>
      </c>
      <c r="C28" s="57" t="str">
        <f>IF(Applicants!$D19="","",Applicants!D19)</f>
        <v/>
      </c>
      <c r="D28" s="295"/>
      <c r="E28" s="295"/>
      <c r="F28" s="295"/>
      <c r="G28" s="295"/>
      <c r="H28" s="295"/>
      <c r="I28" s="295"/>
      <c r="J28" s="295"/>
      <c r="K28" s="295"/>
      <c r="L28" s="295"/>
      <c r="M28" s="296"/>
    </row>
    <row r="29" spans="1:13" ht="13.5" thickBot="1" x14ac:dyDescent="0.25">
      <c r="A29" s="43" t="str">
        <f>IF(Applicants!$D20="","",Applicants!B20)</f>
        <v/>
      </c>
      <c r="B29" s="68" t="str">
        <f>IF(Applicants!$D20="","",Applicants!C20)</f>
        <v/>
      </c>
      <c r="C29" s="68" t="str">
        <f>IF(Applicants!$D20="","",Applicants!D20)</f>
        <v/>
      </c>
      <c r="D29" s="297"/>
      <c r="E29" s="297"/>
      <c r="F29" s="297"/>
      <c r="G29" s="297"/>
      <c r="H29" s="297"/>
      <c r="I29" s="297"/>
      <c r="J29" s="297"/>
      <c r="K29" s="297"/>
      <c r="L29" s="297"/>
      <c r="M29" s="298"/>
    </row>
    <row r="30" spans="1:13" ht="14.25" thickTop="1" thickBot="1" x14ac:dyDescent="0.25">
      <c r="D30" s="224" t="str">
        <f>IF(SUM(D18:D29)=0,"",SUM(D18:D29))</f>
        <v/>
      </c>
      <c r="E30" s="225" t="str">
        <f t="shared" ref="E30:M30" si="5">IF(SUM(E18:E29)=0,"",SUM(E18:E29))</f>
        <v/>
      </c>
      <c r="F30" s="225" t="str">
        <f t="shared" si="5"/>
        <v/>
      </c>
      <c r="G30" s="225" t="str">
        <f t="shared" si="5"/>
        <v/>
      </c>
      <c r="H30" s="225" t="str">
        <f t="shared" si="5"/>
        <v/>
      </c>
      <c r="I30" s="225" t="str">
        <f t="shared" si="5"/>
        <v/>
      </c>
      <c r="J30" s="225" t="str">
        <f t="shared" si="5"/>
        <v/>
      </c>
      <c r="K30" s="225" t="str">
        <f t="shared" si="5"/>
        <v/>
      </c>
      <c r="L30" s="225" t="str">
        <f t="shared" si="5"/>
        <v/>
      </c>
      <c r="M30" s="226" t="str">
        <f t="shared" si="5"/>
        <v/>
      </c>
    </row>
    <row r="31" spans="1:13" ht="13.5" thickTop="1" x14ac:dyDescent="0.2">
      <c r="D31" s="241" t="str">
        <f t="shared" ref="D31:M31" si="6">IF(AND(INDEX($D$3:$D$12,MATCH(D15,$A$3:$A$12,0))&gt;0,D30&lt;&gt;1),"Check",IF(D30="","",IF(D30=1,"","Error")))</f>
        <v/>
      </c>
      <c r="E31" s="241" t="str">
        <f t="shared" si="6"/>
        <v/>
      </c>
      <c r="F31" s="241" t="str">
        <f t="shared" si="6"/>
        <v/>
      </c>
      <c r="G31" s="241" t="str">
        <f t="shared" si="6"/>
        <v/>
      </c>
      <c r="H31" s="241" t="str">
        <f t="shared" si="6"/>
        <v/>
      </c>
      <c r="I31" s="241" t="str">
        <f t="shared" si="6"/>
        <v/>
      </c>
      <c r="J31" s="241" t="str">
        <f t="shared" si="6"/>
        <v/>
      </c>
      <c r="K31" s="241" t="str">
        <f t="shared" si="6"/>
        <v/>
      </c>
      <c r="L31" s="241" t="str">
        <f t="shared" si="6"/>
        <v/>
      </c>
      <c r="M31" s="241" t="str">
        <f t="shared" si="6"/>
        <v/>
      </c>
    </row>
    <row r="32" spans="1:13" ht="13.5" thickBot="1" x14ac:dyDescent="0.25"/>
    <row r="33" spans="1:13" ht="13.5" thickTop="1" x14ac:dyDescent="0.2">
      <c r="A33" s="259" t="s">
        <v>18</v>
      </c>
      <c r="B33" s="8"/>
      <c r="C33" s="8"/>
      <c r="D33" s="8"/>
      <c r="E33" s="299"/>
    </row>
    <row r="34" spans="1:13" x14ac:dyDescent="0.2">
      <c r="A34" s="36"/>
      <c r="B34" s="37"/>
      <c r="C34" s="37"/>
      <c r="D34" s="37"/>
      <c r="E34" s="38"/>
    </row>
    <row r="35" spans="1:13" x14ac:dyDescent="0.2">
      <c r="A35" s="36"/>
      <c r="B35" s="37"/>
      <c r="C35" s="37"/>
      <c r="D35" s="37"/>
      <c r="E35" s="38"/>
    </row>
    <row r="36" spans="1:13" x14ac:dyDescent="0.2">
      <c r="A36" s="36"/>
      <c r="B36" s="37"/>
      <c r="C36" s="37"/>
      <c r="D36" s="37"/>
      <c r="E36" s="38"/>
    </row>
    <row r="37" spans="1:13" ht="13.5" thickBot="1" x14ac:dyDescent="0.25">
      <c r="A37" s="39"/>
      <c r="B37" s="40"/>
      <c r="C37" s="40"/>
      <c r="D37" s="40"/>
      <c r="E37" s="41"/>
    </row>
    <row r="38" spans="1:13" ht="13.5" thickTop="1" x14ac:dyDescent="0.2"/>
    <row r="43" spans="1:13" hidden="1" x14ac:dyDescent="0.2"/>
    <row r="44" spans="1:13" hidden="1" x14ac:dyDescent="0.2">
      <c r="C44" s="88" t="s">
        <v>228</v>
      </c>
      <c r="D44" s="300" t="str">
        <f t="shared" ref="D44:M44" si="7">IF(INDEX($E$3:$E$12,D15)="","",INDEX($E$3:$E$12,D15))</f>
        <v/>
      </c>
      <c r="E44" s="300" t="str">
        <f t="shared" si="7"/>
        <v/>
      </c>
      <c r="F44" s="248" t="str">
        <f t="shared" si="7"/>
        <v/>
      </c>
      <c r="G44" s="248" t="str">
        <f t="shared" si="7"/>
        <v/>
      </c>
      <c r="H44" s="248" t="str">
        <f t="shared" si="7"/>
        <v/>
      </c>
      <c r="I44" s="248" t="str">
        <f t="shared" si="7"/>
        <v/>
      </c>
      <c r="J44" s="248" t="str">
        <f t="shared" si="7"/>
        <v/>
      </c>
      <c r="K44" s="248" t="str">
        <f t="shared" si="7"/>
        <v/>
      </c>
      <c r="L44" s="248" t="str">
        <f t="shared" si="7"/>
        <v/>
      </c>
      <c r="M44" s="248" t="str">
        <f t="shared" si="7"/>
        <v/>
      </c>
    </row>
    <row r="45" spans="1:13" hidden="1" x14ac:dyDescent="0.2"/>
    <row r="46" spans="1:13" hidden="1" x14ac:dyDescent="0.2">
      <c r="B46" s="3" t="s">
        <v>97</v>
      </c>
    </row>
    <row r="47" spans="1:13" hidden="1" x14ac:dyDescent="0.2">
      <c r="B47" s="3" t="s">
        <v>102</v>
      </c>
    </row>
    <row r="48" spans="1:13" hidden="1" x14ac:dyDescent="0.2"/>
    <row r="49" hidden="1" x14ac:dyDescent="0.2"/>
    <row r="2898" ht="15" customHeight="1" x14ac:dyDescent="0.2"/>
    <row r="2899" ht="85.5" customHeight="1" x14ac:dyDescent="0.2"/>
    <row r="2900" ht="85.5" customHeight="1" x14ac:dyDescent="0.2"/>
    <row r="2901" ht="85.5" customHeight="1" x14ac:dyDescent="0.2"/>
    <row r="2902" ht="85.5" customHeight="1" x14ac:dyDescent="0.2"/>
    <row r="2903" ht="85.5" customHeight="1" x14ac:dyDescent="0.2"/>
    <row r="2904" ht="85.5" customHeight="1" x14ac:dyDescent="0.2"/>
    <row r="2905" ht="85.5" customHeight="1" x14ac:dyDescent="0.2"/>
    <row r="2906" ht="85.5" customHeight="1" x14ac:dyDescent="0.2"/>
    <row r="2907" ht="85.5" customHeight="1" x14ac:dyDescent="0.2"/>
  </sheetData>
  <sheetProtection algorithmName="SHA-512" hashValue="U8DvU1jpdsIWCf9Hk4Nup1TzcXwf1z5elkaMosjgFRIWFrRRhRVli0gWtIGOZGC9a1i1wLuGdj5Rz3PgsoNzAQ==" saltValue="ABNVDbzNx+M5yd9j8Z7t4g==" spinCount="100000" sheet="1" objects="1" scenarios="1"/>
  <conditionalFormatting sqref="A18:C29">
    <cfRule type="expression" dxfId="123" priority="13">
      <formula>$A18=""</formula>
    </cfRule>
  </conditionalFormatting>
  <conditionalFormatting sqref="A2:E2 G2:R3 A16:C17 A33:E33">
    <cfRule type="expression" dxfId="122" priority="6">
      <formula>OR( Branding = "Thrive")</formula>
    </cfRule>
    <cfRule type="expression" dxfId="121" priority="4">
      <formula>OR( Branding = "YBR")</formula>
    </cfRule>
    <cfRule type="expression" dxfId="120" priority="5">
      <formula>OR( Branding = "Paramount")</formula>
    </cfRule>
    <cfRule type="expression" dxfId="119" priority="11">
      <formula>OR( Branding = "AFG")</formula>
    </cfRule>
    <cfRule type="expression" dxfId="118" priority="7">
      <formula>OR( Branding = "WINWIN")</formula>
    </cfRule>
    <cfRule type="expression" dxfId="117" priority="8">
      <formula>OR( Branding = "RM")</formula>
    </cfRule>
    <cfRule type="expression" dxfId="116" priority="9">
      <formula>OR( Branding = "Go Beyond")</formula>
    </cfRule>
    <cfRule type="expression" dxfId="115" priority="10">
      <formula>OR( Branding = "AFG Align")</formula>
    </cfRule>
    <cfRule type="expression" dxfId="114" priority="12">
      <formula>OR( Branding = "CON")</formula>
    </cfRule>
  </conditionalFormatting>
  <conditionalFormatting sqref="D16:D17">
    <cfRule type="expression" dxfId="112" priority="43">
      <formula>$D$3=""</formula>
    </cfRule>
  </conditionalFormatting>
  <conditionalFormatting sqref="D18:D29 D44:M44">
    <cfRule type="expression" dxfId="111" priority="42">
      <formula>$D$3=""</formula>
    </cfRule>
  </conditionalFormatting>
  <conditionalFormatting sqref="D18:M29">
    <cfRule type="expression" dxfId="110" priority="14">
      <formula>AND($A18="",D18&lt;&gt;"")</formula>
    </cfRule>
    <cfRule type="expression" dxfId="109" priority="15">
      <formula>$A18=""</formula>
    </cfRule>
  </conditionalFormatting>
  <conditionalFormatting sqref="D31:M31">
    <cfRule type="containsText" dxfId="108" priority="33" operator="containsText" text="OK">
      <formula>NOT(ISERROR(SEARCH("OK",D31)))</formula>
    </cfRule>
    <cfRule type="containsText" dxfId="107" priority="34" operator="containsText" text="Check">
      <formula>NOT(ISERROR(SEARCH("Check",D31)))</formula>
    </cfRule>
    <cfRule type="containsText" dxfId="106" priority="35" operator="containsText" text="Error">
      <formula>NOT(ISERROR(SEARCH("Error",D31)))</formula>
    </cfRule>
  </conditionalFormatting>
  <conditionalFormatting sqref="E16:E17">
    <cfRule type="expression" dxfId="104" priority="44">
      <formula>$D$4=""</formula>
    </cfRule>
  </conditionalFormatting>
  <conditionalFormatting sqref="E18:E29">
    <cfRule type="expression" dxfId="103" priority="53">
      <formula>$D$4=""</formula>
    </cfRule>
  </conditionalFormatting>
  <conditionalFormatting sqref="F16:F17">
    <cfRule type="expression" dxfId="99" priority="45">
      <formula>$D$5=""</formula>
    </cfRule>
  </conditionalFormatting>
  <conditionalFormatting sqref="F18:F29">
    <cfRule type="expression" dxfId="98" priority="54">
      <formula>$D$5=""</formula>
    </cfRule>
  </conditionalFormatting>
  <conditionalFormatting sqref="G16:G17">
    <cfRule type="expression" dxfId="97" priority="46">
      <formula>$D$6=""</formula>
    </cfRule>
  </conditionalFormatting>
  <conditionalFormatting sqref="G18:G29">
    <cfRule type="expression" dxfId="96" priority="55">
      <formula>$D$6=""</formula>
    </cfRule>
  </conditionalFormatting>
  <conditionalFormatting sqref="G4:I7">
    <cfRule type="expression" dxfId="95" priority="41">
      <formula>$G4=""</formula>
    </cfRule>
  </conditionalFormatting>
  <conditionalFormatting sqref="H16:H17">
    <cfRule type="expression" dxfId="94" priority="47">
      <formula>$D$7=""</formula>
    </cfRule>
  </conditionalFormatting>
  <conditionalFormatting sqref="H18:H29">
    <cfRule type="expression" dxfId="93" priority="56">
      <formula>$D$7=""</formula>
    </cfRule>
  </conditionalFormatting>
  <conditionalFormatting sqref="I16:I17">
    <cfRule type="expression" dxfId="92" priority="48">
      <formula>$D$8=""</formula>
    </cfRule>
  </conditionalFormatting>
  <conditionalFormatting sqref="I18:I29">
    <cfRule type="expression" dxfId="91" priority="57">
      <formula>$D$8=""</formula>
    </cfRule>
  </conditionalFormatting>
  <conditionalFormatting sqref="J16:J17">
    <cfRule type="expression" dxfId="90" priority="49">
      <formula>$D$9=""</formula>
    </cfRule>
  </conditionalFormatting>
  <conditionalFormatting sqref="J18:J29">
    <cfRule type="expression" dxfId="89" priority="58">
      <formula>$D$9=""</formula>
    </cfRule>
  </conditionalFormatting>
  <conditionalFormatting sqref="J4:R7">
    <cfRule type="expression" dxfId="88" priority="39" stopIfTrue="1">
      <formula>AND($I4="",J4&lt;&gt;"")</formula>
    </cfRule>
    <cfRule type="expression" dxfId="87" priority="40">
      <formula>$I4=""</formula>
    </cfRule>
  </conditionalFormatting>
  <conditionalFormatting sqref="K16:K17">
    <cfRule type="expression" dxfId="86" priority="50">
      <formula>$D$10=""</formula>
    </cfRule>
  </conditionalFormatting>
  <conditionalFormatting sqref="K18:K29">
    <cfRule type="expression" dxfId="85" priority="59">
      <formula>$D$10=""</formula>
    </cfRule>
  </conditionalFormatting>
  <conditionalFormatting sqref="L16:L17">
    <cfRule type="expression" dxfId="84" priority="51">
      <formula>$D$11=""</formula>
    </cfRule>
  </conditionalFormatting>
  <conditionalFormatting sqref="L18:L29">
    <cfRule type="expression" dxfId="83" priority="60">
      <formula>$D$11=""</formula>
    </cfRule>
  </conditionalFormatting>
  <conditionalFormatting sqref="M16:M17">
    <cfRule type="expression" dxfId="82" priority="52">
      <formula>$D$12=""</formula>
    </cfRule>
  </conditionalFormatting>
  <conditionalFormatting sqref="M18:M29">
    <cfRule type="expression" dxfId="81" priority="61">
      <formula>$D$12=""</formula>
    </cfRule>
  </conditionalFormatting>
  <dataValidations count="1">
    <dataValidation type="list" allowBlank="1" showInputMessage="1" showErrorMessage="1" sqref="F3:F12" xr:uid="{526F8363-7552-4BFD-B951-2AF350B8498C}">
      <formula1>$T$1:$T$2</formula1>
    </dataValidation>
  </dataValidations>
  <pageMargins left="0.7" right="0.7" top="0.75" bottom="0.75" header="0.3" footer="0.3"/>
  <pageSetup scale="46" orientation="landscape" r:id="rId1"/>
  <extLst>
    <ext xmlns:x14="http://schemas.microsoft.com/office/spreadsheetml/2009/9/main" uri="{78C0D931-6437-407d-A8EE-F0AAD7539E65}">
      <x14:conditionalFormattings>
        <x14:conditionalFormatting xmlns:xm="http://schemas.microsoft.com/office/excel/2006/main">
          <x14:cfRule type="expression" priority="38" id="{625270EE-99C2-461B-AD54-9D6E1AD2274E}">
            <xm:f>Applicants!$J$5="Yes"</xm:f>
            <x14:dxf>
              <font>
                <color theme="0"/>
              </font>
              <fill>
                <patternFill>
                  <bgColor theme="0"/>
                </patternFill>
              </fill>
              <border>
                <left/>
                <right/>
                <top/>
                <bottom/>
                <vertical/>
                <horizontal/>
              </border>
            </x14:dxf>
          </x14:cfRule>
          <xm:sqref>A15:M30</xm:sqref>
        </x14:conditionalFormatting>
        <x14:conditionalFormatting xmlns:xm="http://schemas.microsoft.com/office/excel/2006/main">
          <x14:cfRule type="expression" priority="37" id="{33086155-95B0-4ED1-84D9-59169099BC09}">
            <xm:f>Applicants!$J$5="Yes"</xm:f>
            <x14:dxf>
              <font>
                <color theme="0"/>
              </font>
              <fill>
                <patternFill>
                  <bgColor theme="0"/>
                </patternFill>
              </fill>
            </x14:dxf>
          </x14:cfRule>
          <xm:sqref>D31:M31</xm:sqref>
        </x14:conditionalFormatting>
        <x14:conditionalFormatting xmlns:xm="http://schemas.microsoft.com/office/excel/2006/main">
          <x14:cfRule type="expression" priority="1" id="{D2857752-5F72-4E31-B074-3A0CA1BF7DD8}">
            <xm:f>Applicants!$J$3&lt;&gt;"Lease Doc"</xm:f>
            <x14:dxf>
              <font>
                <color theme="0"/>
              </font>
              <fill>
                <patternFill>
                  <bgColor theme="0"/>
                </patternFill>
              </fill>
            </x14:dxf>
          </x14:cfRule>
          <xm:sqref>F2</xm:sqref>
        </x14:conditionalFormatting>
        <x14:conditionalFormatting xmlns:xm="http://schemas.microsoft.com/office/excel/2006/main">
          <x14:cfRule type="expression" priority="3" id="{A4CC745E-3D87-4F37-BEE5-023A34AFE709}">
            <xm:f>Applicants!$J$3="Lease Doc"</xm:f>
            <x14:dxf>
              <fill>
                <patternFill>
                  <bgColor rgb="FFEFEFFF"/>
                </patternFill>
              </fill>
              <border>
                <left style="thin">
                  <color auto="1"/>
                </left>
                <right style="thin">
                  <color auto="1"/>
                </right>
                <bottom/>
              </border>
            </x14:dxf>
          </x14:cfRule>
          <xm:sqref>F3:F12</xm:sqref>
        </x14:conditionalFormatting>
        <x14:conditionalFormatting xmlns:xm="http://schemas.microsoft.com/office/excel/2006/main">
          <x14:cfRule type="expression" priority="2" id="{910C23B3-75BE-40F3-8F52-839C247B221E}">
            <xm:f>Applicants!$J$3="Lease Doc"</xm:f>
            <x14:dxf>
              <border>
                <bottom style="thin">
                  <color auto="1"/>
                </bottom>
                <vertical/>
                <horizontal/>
              </border>
            </x14:dxf>
          </x14:cfRule>
          <xm:sqref>F12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1F865AB-4D8A-4883-B275-95EC78085609}">
          <x14:formula1>
            <xm:f>Loans!$AM$2:$AM$11</xm:f>
          </x14:formula1>
          <xm:sqref>C3:C12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ECF51-F113-414C-AD65-287778B57BF2}">
  <sheetPr codeName="Sheet5">
    <tabColor theme="1"/>
    <pageSetUpPr fitToPage="1"/>
  </sheetPr>
  <dimension ref="B1:AG2907"/>
  <sheetViews>
    <sheetView showGridLines="0" zoomScaleNormal="100" workbookViewId="0">
      <selection activeCell="U20" sqref="U20"/>
    </sheetView>
  </sheetViews>
  <sheetFormatPr defaultColWidth="9.140625" defaultRowHeight="12.75" x14ac:dyDescent="0.2"/>
  <cols>
    <col min="1" max="1" width="3.28515625" style="78" customWidth="1"/>
    <col min="2" max="2" width="23.42578125" style="78" customWidth="1"/>
    <col min="3" max="3" width="5.7109375" style="304" customWidth="1"/>
    <col min="4" max="4" width="18.5703125" style="304" customWidth="1"/>
    <col min="5" max="5" width="14.7109375" style="304" customWidth="1"/>
    <col min="6" max="6" width="8.7109375" style="362" customWidth="1"/>
    <col min="7" max="7" width="14.7109375" style="304" customWidth="1"/>
    <col min="8" max="8" width="8.7109375" style="304" customWidth="1"/>
    <col min="9" max="9" width="1.28515625" style="78" customWidth="1"/>
    <col min="10" max="10" width="9.140625" style="78"/>
    <col min="11" max="11" width="19.28515625" style="304" customWidth="1"/>
    <col min="12" max="13" width="14.7109375" style="304" customWidth="1"/>
    <col min="14" max="14" width="8.7109375" style="362" customWidth="1"/>
    <col min="15" max="15" width="14.7109375" style="304" customWidth="1"/>
    <col min="16" max="16" width="8.7109375" style="304" customWidth="1"/>
    <col min="17" max="17" width="1.7109375" style="78" customWidth="1"/>
    <col min="18" max="18" width="9.140625" style="78"/>
    <col min="19" max="19" width="19.28515625" style="78" customWidth="1"/>
    <col min="20" max="21" width="14.7109375" style="78" customWidth="1"/>
    <col min="22" max="22" width="8.7109375" style="363" customWidth="1"/>
    <col min="23" max="23" width="14.7109375" style="78" customWidth="1"/>
    <col min="24" max="24" width="8.7109375" style="78" customWidth="1"/>
    <col min="25" max="25" width="1.7109375" style="78" customWidth="1"/>
    <col min="26" max="26" width="9.140625" style="78"/>
    <col min="27" max="27" width="19.28515625" style="78" customWidth="1"/>
    <col min="28" max="29" width="14.7109375" style="78" customWidth="1"/>
    <col min="30" max="30" width="8.7109375" style="78" customWidth="1"/>
    <col min="31" max="31" width="14.7109375" style="78" customWidth="1"/>
    <col min="32" max="32" width="8.7109375" style="78" customWidth="1"/>
    <col min="33" max="16384" width="9.140625" style="78"/>
  </cols>
  <sheetData>
    <row r="1" spans="2:33" ht="22.5" customHeight="1" x14ac:dyDescent="0.2">
      <c r="C1" s="301" t="s">
        <v>235</v>
      </c>
      <c r="D1" s="302"/>
      <c r="E1" s="302"/>
      <c r="F1" s="302"/>
      <c r="G1" s="303"/>
      <c r="N1" s="305"/>
      <c r="V1" s="244"/>
    </row>
    <row r="2" spans="2:33" ht="20.25" customHeight="1" x14ac:dyDescent="0.2">
      <c r="C2" s="306"/>
      <c r="D2" s="306"/>
      <c r="E2" s="306"/>
      <c r="F2" s="307"/>
      <c r="G2" s="306"/>
      <c r="N2" s="305"/>
      <c r="V2" s="244"/>
    </row>
    <row r="3" spans="2:33" ht="22.5" customHeight="1" x14ac:dyDescent="0.2">
      <c r="B3" s="308" t="s">
        <v>236</v>
      </c>
      <c r="C3" s="769" t="str">
        <f>Loans!B12</f>
        <v/>
      </c>
      <c r="D3" s="770"/>
      <c r="E3" s="770"/>
      <c r="F3" s="770"/>
      <c r="G3" s="770"/>
      <c r="H3" s="771"/>
      <c r="I3" s="309"/>
      <c r="J3" s="310"/>
      <c r="K3" s="311"/>
      <c r="L3" s="311"/>
      <c r="M3" s="311"/>
      <c r="N3" s="312"/>
      <c r="O3" s="311"/>
      <c r="P3" s="311"/>
      <c r="V3" s="244"/>
    </row>
    <row r="4" spans="2:33" ht="9.75" customHeight="1" x14ac:dyDescent="0.2">
      <c r="B4" s="313"/>
      <c r="C4" s="314"/>
      <c r="D4" s="315"/>
      <c r="E4" s="315"/>
      <c r="F4" s="315"/>
      <c r="G4" s="315"/>
      <c r="H4" s="315"/>
      <c r="I4" s="309"/>
      <c r="J4" s="310"/>
      <c r="K4" s="311"/>
      <c r="L4" s="311"/>
      <c r="M4" s="311"/>
      <c r="N4" s="312"/>
      <c r="O4" s="311"/>
      <c r="P4" s="311"/>
      <c r="V4" s="244"/>
    </row>
    <row r="5" spans="2:33" s="319" customFormat="1" ht="16.5" customHeight="1" x14ac:dyDescent="0.2">
      <c r="B5" s="772" t="s">
        <v>237</v>
      </c>
      <c r="C5" s="773"/>
      <c r="D5" s="316" t="str">
        <f>Applicants!B37</f>
        <v/>
      </c>
      <c r="E5" s="774" t="str">
        <f>Applicants!C37</f>
        <v/>
      </c>
      <c r="F5" s="774"/>
      <c r="G5" s="774"/>
      <c r="H5" s="775"/>
      <c r="I5" s="317"/>
      <c r="J5" s="772" t="s">
        <v>237</v>
      </c>
      <c r="K5" s="773"/>
      <c r="L5" s="316" t="str">
        <f>Applicants!B38</f>
        <v/>
      </c>
      <c r="M5" s="774" t="str">
        <f>Applicants!C38</f>
        <v/>
      </c>
      <c r="N5" s="774"/>
      <c r="O5" s="774"/>
      <c r="P5" s="775"/>
      <c r="Q5" s="318"/>
      <c r="R5" s="776" t="s">
        <v>237</v>
      </c>
      <c r="S5" s="773"/>
      <c r="T5" s="316" t="str">
        <f>Applicants!B39</f>
        <v/>
      </c>
      <c r="U5" s="774" t="str">
        <f>Applicants!C39</f>
        <v/>
      </c>
      <c r="V5" s="774"/>
      <c r="W5" s="774"/>
      <c r="X5" s="775"/>
      <c r="Z5" s="776" t="s">
        <v>237</v>
      </c>
      <c r="AA5" s="773"/>
      <c r="AB5" s="316" t="str">
        <f>Applicants!B40</f>
        <v/>
      </c>
      <c r="AC5" s="774" t="str">
        <f>Applicants!C40</f>
        <v/>
      </c>
      <c r="AD5" s="774"/>
      <c r="AE5" s="774"/>
      <c r="AF5" s="775"/>
    </row>
    <row r="6" spans="2:33" ht="7.5" customHeight="1" thickBot="1" x14ac:dyDescent="0.25">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2:33" ht="17.100000000000001" customHeight="1" x14ac:dyDescent="0.25">
      <c r="B7" s="326" t="s">
        <v>238</v>
      </c>
      <c r="C7" s="327"/>
      <c r="D7" s="328" t="s">
        <v>239</v>
      </c>
      <c r="E7" s="328" t="s">
        <v>239</v>
      </c>
      <c r="F7" s="777" t="s">
        <v>240</v>
      </c>
      <c r="G7" s="328" t="s">
        <v>239</v>
      </c>
      <c r="H7" s="779" t="s">
        <v>240</v>
      </c>
      <c r="I7" s="309"/>
      <c r="J7" s="783" t="s">
        <v>241</v>
      </c>
      <c r="K7" s="784"/>
      <c r="L7" s="328" t="s">
        <v>239</v>
      </c>
      <c r="M7" s="328" t="s">
        <v>239</v>
      </c>
      <c r="N7" s="777" t="s">
        <v>240</v>
      </c>
      <c r="O7" s="328" t="s">
        <v>239</v>
      </c>
      <c r="P7" s="779" t="s">
        <v>240</v>
      </c>
      <c r="Q7" s="324"/>
      <c r="R7" s="783" t="s">
        <v>242</v>
      </c>
      <c r="S7" s="784"/>
      <c r="T7" s="328" t="s">
        <v>239</v>
      </c>
      <c r="U7" s="328" t="s">
        <v>239</v>
      </c>
      <c r="V7" s="777" t="s">
        <v>240</v>
      </c>
      <c r="W7" s="328" t="s">
        <v>239</v>
      </c>
      <c r="X7" s="779" t="s">
        <v>240</v>
      </c>
      <c r="Z7" s="783" t="s">
        <v>243</v>
      </c>
      <c r="AA7" s="784"/>
      <c r="AB7" s="328" t="s">
        <v>239</v>
      </c>
      <c r="AC7" s="328" t="s">
        <v>239</v>
      </c>
      <c r="AD7" s="777" t="s">
        <v>240</v>
      </c>
      <c r="AE7" s="328" t="s">
        <v>239</v>
      </c>
      <c r="AF7" s="779" t="s">
        <v>240</v>
      </c>
    </row>
    <row r="8" spans="2:33" ht="17.100000000000001" customHeight="1" thickBot="1" x14ac:dyDescent="0.3">
      <c r="B8" s="329"/>
      <c r="C8" s="330"/>
      <c r="D8" s="331">
        <f>'Properties &amp; Ind Income'!J3</f>
        <v>45473</v>
      </c>
      <c r="E8" s="331">
        <f>'Properties &amp; Ind Income'!K3</f>
        <v>45838</v>
      </c>
      <c r="F8" s="778"/>
      <c r="G8" s="331">
        <f>'Properties &amp; Ind Income'!L3</f>
        <v>46203</v>
      </c>
      <c r="H8" s="780"/>
      <c r="I8" s="309"/>
      <c r="J8" s="785"/>
      <c r="K8" s="786"/>
      <c r="L8" s="331">
        <f>D8</f>
        <v>45473</v>
      </c>
      <c r="M8" s="331">
        <f>E8</f>
        <v>45838</v>
      </c>
      <c r="N8" s="778"/>
      <c r="O8" s="331">
        <f>G8</f>
        <v>46203</v>
      </c>
      <c r="P8" s="780"/>
      <c r="Q8" s="324"/>
      <c r="R8" s="785"/>
      <c r="S8" s="786"/>
      <c r="T8" s="331">
        <f>L8</f>
        <v>45473</v>
      </c>
      <c r="U8" s="331">
        <f>M8</f>
        <v>45838</v>
      </c>
      <c r="V8" s="778"/>
      <c r="W8" s="331">
        <f>O8</f>
        <v>46203</v>
      </c>
      <c r="X8" s="780"/>
      <c r="Z8" s="785"/>
      <c r="AA8" s="786"/>
      <c r="AB8" s="331">
        <f>T8</f>
        <v>45473</v>
      </c>
      <c r="AC8" s="331">
        <f>U8</f>
        <v>45838</v>
      </c>
      <c r="AD8" s="778"/>
      <c r="AE8" s="331">
        <f>W8</f>
        <v>46203</v>
      </c>
      <c r="AF8" s="780"/>
    </row>
    <row r="9" spans="2:33" ht="17.100000000000001" customHeight="1" x14ac:dyDescent="0.2">
      <c r="B9" s="781"/>
      <c r="C9" s="782"/>
      <c r="D9" s="332"/>
      <c r="E9" s="333"/>
      <c r="F9" s="334"/>
      <c r="G9" s="333"/>
      <c r="H9" s="335"/>
      <c r="I9" s="309"/>
      <c r="J9" s="781"/>
      <c r="K9" s="782"/>
      <c r="L9" s="332"/>
      <c r="M9" s="333"/>
      <c r="N9" s="334"/>
      <c r="O9" s="333"/>
      <c r="P9" s="335"/>
      <c r="Q9" s="309"/>
      <c r="R9" s="781"/>
      <c r="S9" s="782"/>
      <c r="T9" s="332"/>
      <c r="U9" s="333"/>
      <c r="V9" s="334"/>
      <c r="W9" s="333"/>
      <c r="X9" s="335"/>
      <c r="Y9" s="309"/>
      <c r="Z9" s="781"/>
      <c r="AA9" s="782"/>
      <c r="AB9" s="332"/>
      <c r="AC9" s="333"/>
      <c r="AD9" s="334"/>
      <c r="AE9" s="333"/>
      <c r="AF9" s="335"/>
      <c r="AG9" s="309"/>
    </row>
    <row r="10" spans="2:33" ht="17.100000000000001" customHeight="1" x14ac:dyDescent="0.2">
      <c r="B10" s="787" t="s">
        <v>244</v>
      </c>
      <c r="C10" s="788"/>
      <c r="D10" s="336"/>
      <c r="E10" s="337"/>
      <c r="F10" s="338" t="str">
        <f>IF(D10=0,"NA",(E10-D10)/D10)</f>
        <v>NA</v>
      </c>
      <c r="G10" s="336"/>
      <c r="H10" s="339" t="str">
        <f>IF(E10=0,"NA",(G10-E10)/E10)</f>
        <v>NA</v>
      </c>
      <c r="I10" s="309"/>
      <c r="J10" s="787" t="s">
        <v>244</v>
      </c>
      <c r="K10" s="788"/>
      <c r="L10" s="336"/>
      <c r="M10" s="337"/>
      <c r="N10" s="338" t="str">
        <f>IF(L10=0, "NA", (M10-L10)/M10)</f>
        <v>NA</v>
      </c>
      <c r="O10" s="336"/>
      <c r="P10" s="339" t="str">
        <f>IF(M10=0,"NA",(O10-M10)/M10)</f>
        <v>NA</v>
      </c>
      <c r="Q10" s="309"/>
      <c r="R10" s="787" t="s">
        <v>244</v>
      </c>
      <c r="S10" s="788"/>
      <c r="T10" s="336"/>
      <c r="U10" s="337"/>
      <c r="V10" s="338" t="str">
        <f>IF(T10=0, "NA", (U10-T10)/T10)</f>
        <v>NA</v>
      </c>
      <c r="W10" s="336"/>
      <c r="X10" s="339" t="str">
        <f>IF(U10=0,"NA",(W10-U10)/U10)</f>
        <v>NA</v>
      </c>
      <c r="Y10" s="309"/>
      <c r="Z10" s="787" t="s">
        <v>244</v>
      </c>
      <c r="AA10" s="788"/>
      <c r="AB10" s="336"/>
      <c r="AC10" s="337"/>
      <c r="AD10" s="338" t="str">
        <f>IF(AB10=0, "NA", (AC10-AB10)/AB10)</f>
        <v>NA</v>
      </c>
      <c r="AE10" s="336"/>
      <c r="AF10" s="339" t="str">
        <f>IF(AC10=0,"NA",(AE10-AC10)/AC10)</f>
        <v>NA</v>
      </c>
      <c r="AG10" s="309"/>
    </row>
    <row r="11" spans="2:33" ht="17.100000000000001" customHeight="1" x14ac:dyDescent="0.2">
      <c r="B11" s="787"/>
      <c r="C11" s="788"/>
      <c r="D11" s="340"/>
      <c r="E11" s="341"/>
      <c r="F11" s="338"/>
      <c r="G11" s="340"/>
      <c r="H11" s="339"/>
      <c r="I11" s="309"/>
      <c r="J11" s="787"/>
      <c r="K11" s="788"/>
      <c r="L11" s="340"/>
      <c r="M11" s="341"/>
      <c r="N11" s="338"/>
      <c r="O11" s="340"/>
      <c r="P11" s="339"/>
      <c r="Q11" s="309"/>
      <c r="R11" s="787"/>
      <c r="S11" s="788"/>
      <c r="T11" s="340"/>
      <c r="U11" s="341"/>
      <c r="V11" s="338"/>
      <c r="W11" s="340"/>
      <c r="X11" s="339"/>
      <c r="Y11" s="309"/>
      <c r="Z11" s="787"/>
      <c r="AA11" s="788"/>
      <c r="AB11" s="340"/>
      <c r="AC11" s="341"/>
      <c r="AD11" s="338"/>
      <c r="AE11" s="340"/>
      <c r="AF11" s="339"/>
      <c r="AG11" s="309"/>
    </row>
    <row r="12" spans="2:33" ht="17.100000000000001" customHeight="1" x14ac:dyDescent="0.2">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2:33" ht="17.100000000000001" customHeight="1" x14ac:dyDescent="0.2">
      <c r="B13" s="787" t="s">
        <v>246</v>
      </c>
      <c r="C13" s="788"/>
      <c r="D13" s="336"/>
      <c r="E13" s="337"/>
      <c r="F13" s="338" t="str">
        <f>IF(D13=0,"NA",(E13-D13)/D13)</f>
        <v>NA</v>
      </c>
      <c r="G13" s="336"/>
      <c r="H13" s="339" t="str">
        <f>IF(E13=0,"NA",(G13-E13)/E13)</f>
        <v>NA</v>
      </c>
      <c r="I13" s="309"/>
      <c r="J13" s="787" t="s">
        <v>246</v>
      </c>
      <c r="K13" s="788"/>
      <c r="L13" s="336"/>
      <c r="M13" s="337"/>
      <c r="N13" s="338" t="str">
        <f>IF(L13=0, "NA", (M13-L13)/M13)</f>
        <v>NA</v>
      </c>
      <c r="O13" s="336"/>
      <c r="P13" s="339" t="str">
        <f>IF(M13=0,"NA",(O13-M13)/M13)</f>
        <v>NA</v>
      </c>
      <c r="Q13" s="309"/>
      <c r="R13" s="787" t="s">
        <v>246</v>
      </c>
      <c r="S13" s="788"/>
      <c r="T13" s="336"/>
      <c r="U13" s="337"/>
      <c r="V13" s="338" t="str">
        <f>IF(T13=0, "NA", (U13-T13)/T13)</f>
        <v>NA</v>
      </c>
      <c r="W13" s="336"/>
      <c r="X13" s="339" t="str">
        <f>IF(U13=0,"NA",(W13-U13)/U13)</f>
        <v>NA</v>
      </c>
      <c r="Y13" s="309"/>
      <c r="Z13" s="787" t="s">
        <v>246</v>
      </c>
      <c r="AA13" s="788"/>
      <c r="AB13" s="336"/>
      <c r="AC13" s="337"/>
      <c r="AD13" s="338" t="str">
        <f>IF(AB13=0, "NA", (AC13-AB13)/AB13)</f>
        <v>NA</v>
      </c>
      <c r="AE13" s="336"/>
      <c r="AF13" s="339" t="str">
        <f>IF(AC13=0,"NA",(AE13-AC13)/AC13)</f>
        <v>NA</v>
      </c>
      <c r="AG13" s="309"/>
    </row>
    <row r="14" spans="2:33" ht="17.100000000000001" customHeight="1" x14ac:dyDescent="0.2">
      <c r="B14" s="787" t="s">
        <v>247</v>
      </c>
      <c r="C14" s="788"/>
      <c r="D14" s="336"/>
      <c r="E14" s="337"/>
      <c r="F14" s="338" t="str">
        <f>IF(D14=0,"NA",(E14-D14)/D14)</f>
        <v>NA</v>
      </c>
      <c r="G14" s="336"/>
      <c r="H14" s="339" t="str">
        <f>IF(E14=0,"NA",(G14-E14)/E14)</f>
        <v>NA</v>
      </c>
      <c r="I14" s="309"/>
      <c r="J14" s="787" t="s">
        <v>247</v>
      </c>
      <c r="K14" s="788"/>
      <c r="L14" s="336"/>
      <c r="M14" s="337"/>
      <c r="N14" s="338" t="str">
        <f>IF(L14=0, "NA", (M14-L14)/M14)</f>
        <v>NA</v>
      </c>
      <c r="O14" s="336"/>
      <c r="P14" s="339" t="str">
        <f>IF(M14=0,"NA",(O14-M14)/M14)</f>
        <v>NA</v>
      </c>
      <c r="Q14" s="309"/>
      <c r="R14" s="787" t="s">
        <v>247</v>
      </c>
      <c r="S14" s="788"/>
      <c r="T14" s="336"/>
      <c r="U14" s="337"/>
      <c r="V14" s="338" t="str">
        <f>IF(T14=0, "NA", (U14-T14)/T14)</f>
        <v>NA</v>
      </c>
      <c r="W14" s="336"/>
      <c r="X14" s="339" t="str">
        <f>IF(U14=0,"NA",(W14-U14)/U14)</f>
        <v>NA</v>
      </c>
      <c r="Y14" s="309"/>
      <c r="Z14" s="787" t="s">
        <v>247</v>
      </c>
      <c r="AA14" s="788"/>
      <c r="AB14" s="336"/>
      <c r="AC14" s="337"/>
      <c r="AD14" s="338" t="str">
        <f>IF(AB14=0, "NA", (AC14-AB14)/AB14)</f>
        <v>NA</v>
      </c>
      <c r="AE14" s="336"/>
      <c r="AF14" s="339" t="str">
        <f>IF(AC14=0,"NA",(AE14-AC14)/AC14)</f>
        <v>NA</v>
      </c>
      <c r="AG14" s="309"/>
    </row>
    <row r="15" spans="2:33" ht="17.100000000000001" customHeight="1" x14ac:dyDescent="0.2">
      <c r="B15" s="787" t="s">
        <v>248</v>
      </c>
      <c r="C15" s="788"/>
      <c r="D15" s="336"/>
      <c r="E15" s="337"/>
      <c r="F15" s="338" t="str">
        <f>IF(D15=0,"NA",(E15-D15)/D15)</f>
        <v>NA</v>
      </c>
      <c r="G15" s="336"/>
      <c r="H15" s="339" t="str">
        <f>IF(E15=0,"NA",(G15-E15)/E15)</f>
        <v>NA</v>
      </c>
      <c r="I15" s="309"/>
      <c r="J15" s="787" t="s">
        <v>248</v>
      </c>
      <c r="K15" s="788"/>
      <c r="L15" s="336"/>
      <c r="M15" s="337"/>
      <c r="N15" s="338" t="str">
        <f>IF(L15=0, "NA", (M15-L15)/M15)</f>
        <v>NA</v>
      </c>
      <c r="O15" s="336"/>
      <c r="P15" s="339" t="str">
        <f>IF(M15=0,"NA",(O15-M15)/M15)</f>
        <v>NA</v>
      </c>
      <c r="Q15" s="309"/>
      <c r="R15" s="787" t="s">
        <v>248</v>
      </c>
      <c r="S15" s="788"/>
      <c r="T15" s="336"/>
      <c r="U15" s="337"/>
      <c r="V15" s="338" t="str">
        <f>IF(T15=0, "NA", (U15-T15)/T15)</f>
        <v>NA</v>
      </c>
      <c r="W15" s="336"/>
      <c r="X15" s="339" t="str">
        <f>IF(U15=0,"NA",(W15-U15)/U15)</f>
        <v>NA</v>
      </c>
      <c r="Y15" s="309"/>
      <c r="Z15" s="787" t="s">
        <v>248</v>
      </c>
      <c r="AA15" s="788"/>
      <c r="AB15" s="336"/>
      <c r="AC15" s="337"/>
      <c r="AD15" s="338" t="str">
        <f>IF(AB15=0, "NA", (AC15-AB15)/AB15)</f>
        <v>NA</v>
      </c>
      <c r="AE15" s="336"/>
      <c r="AF15" s="339" t="str">
        <f>IF(AC15=0,"NA",(AE15-AC15)/AC15)</f>
        <v>NA</v>
      </c>
      <c r="AG15" s="309"/>
    </row>
    <row r="16" spans="2:33" ht="17.100000000000001" customHeight="1" x14ac:dyDescent="0.2">
      <c r="B16" s="787"/>
      <c r="C16" s="788"/>
      <c r="D16" s="340"/>
      <c r="E16" s="341"/>
      <c r="F16" s="338"/>
      <c r="G16" s="341"/>
      <c r="H16" s="339"/>
      <c r="I16" s="309"/>
      <c r="J16" s="787"/>
      <c r="K16" s="788"/>
      <c r="L16" s="340"/>
      <c r="M16" s="341"/>
      <c r="N16" s="338"/>
      <c r="O16" s="341"/>
      <c r="P16" s="339"/>
      <c r="Q16" s="309"/>
      <c r="R16" s="787"/>
      <c r="S16" s="788"/>
      <c r="T16" s="340"/>
      <c r="U16" s="341"/>
      <c r="V16" s="338"/>
      <c r="W16" s="341"/>
      <c r="X16" s="339"/>
      <c r="Y16" s="309"/>
      <c r="Z16" s="787"/>
      <c r="AA16" s="788"/>
      <c r="AB16" s="340"/>
      <c r="AC16" s="341"/>
      <c r="AD16" s="338"/>
      <c r="AE16" s="341"/>
      <c r="AF16" s="339"/>
      <c r="AG16" s="309"/>
    </row>
    <row r="17" spans="2:33" ht="17.100000000000001" customHeight="1" x14ac:dyDescent="0.2">
      <c r="B17" s="781" t="s">
        <v>249</v>
      </c>
      <c r="C17" s="782"/>
      <c r="D17" s="346">
        <f>+D10-D13-D14-D15</f>
        <v>0</v>
      </c>
      <c r="E17" s="346">
        <f>+E10-E13-E14-E15</f>
        <v>0</v>
      </c>
      <c r="F17" s="334" t="str">
        <f>IF(D17=0,"NA",(E17-D17)/D17)</f>
        <v>NA</v>
      </c>
      <c r="G17" s="346">
        <f>+G10-G13-G14-G15</f>
        <v>0</v>
      </c>
      <c r="H17" s="347" t="str">
        <f>IF(E17=0,"NA",(G17-E17)/E17)</f>
        <v>NA</v>
      </c>
      <c r="I17" s="309"/>
      <c r="J17" s="781" t="s">
        <v>249</v>
      </c>
      <c r="K17" s="782"/>
      <c r="L17" s="346">
        <f>+L10-L13-L14-L15</f>
        <v>0</v>
      </c>
      <c r="M17" s="346">
        <f>+M10-M13-M14-M15</f>
        <v>0</v>
      </c>
      <c r="N17" s="334" t="str">
        <f>IF(L17=0, "NA", (M17-L17)/M17)</f>
        <v>NA</v>
      </c>
      <c r="O17" s="346">
        <f>+O10-O13-O14-O15</f>
        <v>0</v>
      </c>
      <c r="P17" s="347" t="str">
        <f>IF(M17=0,"NA",(O17-M17)/M17)</f>
        <v>NA</v>
      </c>
      <c r="Q17" s="309"/>
      <c r="R17" s="781" t="s">
        <v>249</v>
      </c>
      <c r="S17" s="782"/>
      <c r="T17" s="346">
        <f>+T10-T13-T14-T15</f>
        <v>0</v>
      </c>
      <c r="U17" s="346">
        <f>+U10-U13-U14-U15</f>
        <v>0</v>
      </c>
      <c r="V17" s="334" t="str">
        <f>IF(T17=0, "NA", (U17-T17)/T17)</f>
        <v>NA</v>
      </c>
      <c r="W17" s="346">
        <f>+W10-W13-W14-W15</f>
        <v>0</v>
      </c>
      <c r="X17" s="347" t="str">
        <f>IF(U17=0,"NA",(W17-U17)/U17)</f>
        <v>NA</v>
      </c>
      <c r="Y17" s="309"/>
      <c r="Z17" s="781" t="s">
        <v>249</v>
      </c>
      <c r="AA17" s="782"/>
      <c r="AB17" s="346">
        <f>+AB10-AB13-AB14-AB15</f>
        <v>0</v>
      </c>
      <c r="AC17" s="346">
        <f>+AC10-AC13-AC14-AC15</f>
        <v>0</v>
      </c>
      <c r="AD17" s="334" t="str">
        <f>IF(AB17=0, "NA", (AC17-AB17)/AB17)</f>
        <v>NA</v>
      </c>
      <c r="AE17" s="346">
        <f>+AE10-AE13-AE14-AE15</f>
        <v>0</v>
      </c>
      <c r="AF17" s="347" t="str">
        <f>IF(AC17=0,"NA",(AE17-AC17)/AC17)</f>
        <v>NA</v>
      </c>
      <c r="AG17" s="309"/>
    </row>
    <row r="18" spans="2:33" ht="17.100000000000001" customHeight="1" x14ac:dyDescent="0.2">
      <c r="B18" s="787"/>
      <c r="C18" s="788"/>
      <c r="D18" s="340"/>
      <c r="E18" s="341"/>
      <c r="F18" s="338"/>
      <c r="G18" s="341"/>
      <c r="H18" s="339"/>
      <c r="I18" s="309"/>
      <c r="J18" s="787"/>
      <c r="K18" s="788"/>
      <c r="L18" s="340"/>
      <c r="M18" s="341"/>
      <c r="N18" s="338"/>
      <c r="O18" s="341"/>
      <c r="P18" s="339"/>
      <c r="Q18" s="309"/>
      <c r="R18" s="787"/>
      <c r="S18" s="788"/>
      <c r="T18" s="340"/>
      <c r="U18" s="341"/>
      <c r="V18" s="338"/>
      <c r="W18" s="341"/>
      <c r="X18" s="339"/>
      <c r="Y18" s="309"/>
      <c r="Z18" s="787"/>
      <c r="AA18" s="788"/>
      <c r="AB18" s="340"/>
      <c r="AC18" s="341"/>
      <c r="AD18" s="338"/>
      <c r="AE18" s="341"/>
      <c r="AF18" s="339"/>
      <c r="AG18" s="309"/>
    </row>
    <row r="19" spans="2:33" ht="17.100000000000001" customHeight="1" x14ac:dyDescent="0.2">
      <c r="B19" s="787" t="s">
        <v>250</v>
      </c>
      <c r="C19" s="788"/>
      <c r="D19" s="336"/>
      <c r="E19" s="336"/>
      <c r="F19" s="338" t="str">
        <f>IF(D19=0,"NA",(E19-D19)/D19)</f>
        <v>NA</v>
      </c>
      <c r="G19" s="336"/>
      <c r="H19" s="339" t="str">
        <f>IF(E19=0,"NA",(G19-E19)/E19)</f>
        <v>NA</v>
      </c>
      <c r="I19" s="309"/>
      <c r="J19" s="787" t="s">
        <v>250</v>
      </c>
      <c r="K19" s="788"/>
      <c r="L19" s="336"/>
      <c r="M19" s="336"/>
      <c r="N19" s="338" t="str">
        <f>IF(L19=0, "NA", (M19-L19)/M19)</f>
        <v>NA</v>
      </c>
      <c r="O19" s="336"/>
      <c r="P19" s="339" t="str">
        <f>IF(M19=0,"NA",(O19-M19)/M19)</f>
        <v>NA</v>
      </c>
      <c r="Q19" s="309"/>
      <c r="R19" s="787" t="s">
        <v>250</v>
      </c>
      <c r="S19" s="788"/>
      <c r="T19" s="336"/>
      <c r="U19" s="336"/>
      <c r="V19" s="338" t="str">
        <f>IF(T19=0, "NA", (U19-T19)/T19)</f>
        <v>NA</v>
      </c>
      <c r="W19" s="336"/>
      <c r="X19" s="339" t="str">
        <f>IF(U19=0,"NA",(W19-U19)/U19)</f>
        <v>NA</v>
      </c>
      <c r="Y19" s="309"/>
      <c r="Z19" s="787" t="s">
        <v>250</v>
      </c>
      <c r="AA19" s="788"/>
      <c r="AB19" s="336"/>
      <c r="AC19" s="336"/>
      <c r="AD19" s="338" t="str">
        <f>IF(AB19=0, "NA", (AC19-AB19)/AB19)</f>
        <v>NA</v>
      </c>
      <c r="AE19" s="336"/>
      <c r="AF19" s="339" t="str">
        <f>IF(AC19=0,"NA",(AE19-AC19)/AC19)</f>
        <v>NA</v>
      </c>
      <c r="AG19" s="309"/>
    </row>
    <row r="20" spans="2:33" ht="17.100000000000001" customHeight="1" x14ac:dyDescent="0.2">
      <c r="B20" s="787"/>
      <c r="C20" s="788"/>
      <c r="D20" s="340"/>
      <c r="E20" s="341"/>
      <c r="F20" s="338"/>
      <c r="G20" s="341"/>
      <c r="H20" s="339"/>
      <c r="I20" s="309"/>
      <c r="J20" s="787"/>
      <c r="K20" s="788"/>
      <c r="L20" s="340"/>
      <c r="M20" s="341"/>
      <c r="N20" s="338"/>
      <c r="O20" s="341"/>
      <c r="P20" s="339"/>
      <c r="Q20" s="309"/>
      <c r="R20" s="787"/>
      <c r="S20" s="788"/>
      <c r="T20" s="340"/>
      <c r="U20" s="341"/>
      <c r="V20" s="338"/>
      <c r="W20" s="341"/>
      <c r="X20" s="339"/>
      <c r="Y20" s="309"/>
      <c r="Z20" s="787"/>
      <c r="AA20" s="788"/>
      <c r="AB20" s="340"/>
      <c r="AC20" s="341"/>
      <c r="AD20" s="338"/>
      <c r="AE20" s="341"/>
      <c r="AF20" s="339"/>
      <c r="AG20" s="309"/>
    </row>
    <row r="21" spans="2:33" ht="17.100000000000001" customHeight="1" x14ac:dyDescent="0.2">
      <c r="B21" s="781" t="s">
        <v>251</v>
      </c>
      <c r="C21" s="782"/>
      <c r="D21" s="346">
        <f>+D17-D19</f>
        <v>0</v>
      </c>
      <c r="E21" s="346">
        <f>+E17-E19</f>
        <v>0</v>
      </c>
      <c r="F21" s="334" t="str">
        <f>IF(D21=0,"NA",(E21-D21)/D21)</f>
        <v>NA</v>
      </c>
      <c r="G21" s="346">
        <f>+G17-G19</f>
        <v>0</v>
      </c>
      <c r="H21" s="347" t="str">
        <f>IF(E21=0,"NA",(G21-E21)/E21)</f>
        <v>NA</v>
      </c>
      <c r="I21" s="309"/>
      <c r="J21" s="781" t="s">
        <v>251</v>
      </c>
      <c r="K21" s="782"/>
      <c r="L21" s="346">
        <f>+L17-L19</f>
        <v>0</v>
      </c>
      <c r="M21" s="346">
        <f>+M17-M19</f>
        <v>0</v>
      </c>
      <c r="N21" s="334" t="str">
        <f>IF(L21=0, "NA", (M21-L21)/M21)</f>
        <v>NA</v>
      </c>
      <c r="O21" s="346">
        <f>+O17-O19</f>
        <v>0</v>
      </c>
      <c r="P21" s="347" t="str">
        <f>IF(M21=0,"NA",(O21-M21)/M21)</f>
        <v>NA</v>
      </c>
      <c r="Q21" s="309"/>
      <c r="R21" s="781" t="s">
        <v>251</v>
      </c>
      <c r="S21" s="782"/>
      <c r="T21" s="346">
        <f>+T17-T19</f>
        <v>0</v>
      </c>
      <c r="U21" s="346">
        <f>+U17-U19</f>
        <v>0</v>
      </c>
      <c r="V21" s="334" t="str">
        <f>IF(T21=0, "NA", (U21-T21)/T21)</f>
        <v>NA</v>
      </c>
      <c r="W21" s="346">
        <f>+W17-W19</f>
        <v>0</v>
      </c>
      <c r="X21" s="347" t="str">
        <f>IF(U21=0,"NA",(W21-U21)/U21)</f>
        <v>NA</v>
      </c>
      <c r="Y21" s="309"/>
      <c r="Z21" s="781" t="s">
        <v>251</v>
      </c>
      <c r="AA21" s="782"/>
      <c r="AB21" s="346">
        <f>+AB17-AB19</f>
        <v>0</v>
      </c>
      <c r="AC21" s="346">
        <f>+AC17-AC19</f>
        <v>0</v>
      </c>
      <c r="AD21" s="334" t="str">
        <f>IF(AB21=0, "NA", (AC21-AB21)/AB21)</f>
        <v>NA</v>
      </c>
      <c r="AE21" s="346">
        <f>+AE17-AE19</f>
        <v>0</v>
      </c>
      <c r="AF21" s="347" t="str">
        <f>IF(AC21=0,"NA",(AE21-AC21)/AC21)</f>
        <v>NA</v>
      </c>
      <c r="AG21" s="309"/>
    </row>
    <row r="22" spans="2:33" ht="17.100000000000001" customHeight="1" x14ac:dyDescent="0.2">
      <c r="B22" s="787"/>
      <c r="C22" s="788"/>
      <c r="D22" s="340"/>
      <c r="E22" s="341"/>
      <c r="F22" s="338"/>
      <c r="G22" s="341"/>
      <c r="H22" s="339"/>
      <c r="I22" s="309"/>
      <c r="J22" s="787"/>
      <c r="K22" s="788"/>
      <c r="L22" s="340"/>
      <c r="M22" s="341"/>
      <c r="N22" s="338"/>
      <c r="O22" s="341"/>
      <c r="P22" s="339"/>
      <c r="Q22" s="309"/>
      <c r="R22" s="787"/>
      <c r="S22" s="788"/>
      <c r="T22" s="340"/>
      <c r="U22" s="341"/>
      <c r="V22" s="338"/>
      <c r="W22" s="341"/>
      <c r="X22" s="339"/>
      <c r="Y22" s="309"/>
      <c r="Z22" s="787"/>
      <c r="AA22" s="788"/>
      <c r="AB22" s="340"/>
      <c r="AC22" s="341"/>
      <c r="AD22" s="338"/>
      <c r="AE22" s="341"/>
      <c r="AF22" s="339"/>
      <c r="AG22" s="309"/>
    </row>
    <row r="23" spans="2:33" ht="17.100000000000001" customHeight="1" x14ac:dyDescent="0.2">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2:33" ht="17.100000000000001" customHeight="1" x14ac:dyDescent="0.2">
      <c r="B24" s="787" t="s">
        <v>24</v>
      </c>
      <c r="C24" s="788"/>
      <c r="D24" s="336"/>
      <c r="E24" s="336"/>
      <c r="F24" s="338" t="str">
        <f t="shared" ref="F24:F29" si="0">IF(D24=0,"NA",(E24-D24)/D24)</f>
        <v>NA</v>
      </c>
      <c r="G24" s="336"/>
      <c r="H24" s="339" t="str">
        <f t="shared" ref="H24:H29" si="1">IF(E24=0,"NA",(G24-E24)/E24)</f>
        <v>NA</v>
      </c>
      <c r="I24" s="309"/>
      <c r="J24" s="787" t="s">
        <v>24</v>
      </c>
      <c r="K24" s="788"/>
      <c r="L24" s="336"/>
      <c r="M24" s="336"/>
      <c r="N24" s="338" t="str">
        <f t="shared" ref="N24:N29" si="2">IF(L24=0, "NA", (M24-L24)/M24)</f>
        <v>NA</v>
      </c>
      <c r="O24" s="336"/>
      <c r="P24" s="339" t="str">
        <f t="shared" ref="P24:P29" si="3">IF(M24=0,"NA",(O24-M24)/M24)</f>
        <v>NA</v>
      </c>
      <c r="Q24" s="309"/>
      <c r="R24" s="787" t="s">
        <v>24</v>
      </c>
      <c r="S24" s="788"/>
      <c r="T24" s="336"/>
      <c r="U24" s="336"/>
      <c r="V24" s="338" t="str">
        <f t="shared" ref="V24:V29" si="4">IF(T24=0, "NA", (U24-T24)/T24)</f>
        <v>NA</v>
      </c>
      <c r="W24" s="336"/>
      <c r="X24" s="339" t="str">
        <f t="shared" ref="X24:X29" si="5">IF(U24=0,"NA",(W24-U24)/U24)</f>
        <v>NA</v>
      </c>
      <c r="Y24" s="309"/>
      <c r="Z24" s="787" t="s">
        <v>24</v>
      </c>
      <c r="AA24" s="788"/>
      <c r="AB24" s="336"/>
      <c r="AC24" s="336"/>
      <c r="AD24" s="338" t="str">
        <f t="shared" ref="AD24:AD29" si="6">IF(AB24=0, "NA", (AC24-AB24)/AB24)</f>
        <v>NA</v>
      </c>
      <c r="AE24" s="336"/>
      <c r="AF24" s="339" t="str">
        <f t="shared" ref="AF24:AF29" si="7">IF(AC24=0,"NA",(AE24-AC24)/AC24)</f>
        <v>NA</v>
      </c>
      <c r="AG24" s="309"/>
    </row>
    <row r="25" spans="2:33" ht="17.100000000000001" customHeight="1" x14ac:dyDescent="0.2">
      <c r="B25" s="787" t="s">
        <v>0</v>
      </c>
      <c r="C25" s="788"/>
      <c r="D25" s="336"/>
      <c r="E25" s="336"/>
      <c r="F25" s="338" t="str">
        <f t="shared" si="0"/>
        <v>NA</v>
      </c>
      <c r="G25" s="336"/>
      <c r="H25" s="339" t="str">
        <f t="shared" si="1"/>
        <v>NA</v>
      </c>
      <c r="I25" s="309"/>
      <c r="J25" s="787" t="s">
        <v>0</v>
      </c>
      <c r="K25" s="788"/>
      <c r="L25" s="336"/>
      <c r="M25" s="336"/>
      <c r="N25" s="338" t="str">
        <f t="shared" si="2"/>
        <v>NA</v>
      </c>
      <c r="O25" s="336"/>
      <c r="P25" s="339" t="str">
        <f t="shared" si="3"/>
        <v>NA</v>
      </c>
      <c r="Q25" s="309"/>
      <c r="R25" s="787" t="s">
        <v>0</v>
      </c>
      <c r="S25" s="788"/>
      <c r="T25" s="336"/>
      <c r="U25" s="336"/>
      <c r="V25" s="338" t="str">
        <f t="shared" si="4"/>
        <v>NA</v>
      </c>
      <c r="W25" s="336"/>
      <c r="X25" s="339" t="str">
        <f t="shared" si="5"/>
        <v>NA</v>
      </c>
      <c r="Y25" s="309"/>
      <c r="Z25" s="787" t="s">
        <v>0</v>
      </c>
      <c r="AA25" s="788"/>
      <c r="AB25" s="336"/>
      <c r="AC25" s="336"/>
      <c r="AD25" s="338" t="str">
        <f t="shared" si="6"/>
        <v>NA</v>
      </c>
      <c r="AE25" s="336"/>
      <c r="AF25" s="339" t="str">
        <f t="shared" si="7"/>
        <v>NA</v>
      </c>
      <c r="AG25" s="309"/>
    </row>
    <row r="26" spans="2:33" ht="17.100000000000001" customHeight="1" x14ac:dyDescent="0.2">
      <c r="B26" s="787" t="s">
        <v>253</v>
      </c>
      <c r="C26" s="788"/>
      <c r="D26" s="336"/>
      <c r="E26" s="336"/>
      <c r="F26" s="338" t="str">
        <f t="shared" si="0"/>
        <v>NA</v>
      </c>
      <c r="G26" s="336"/>
      <c r="H26" s="339" t="str">
        <f t="shared" si="1"/>
        <v>NA</v>
      </c>
      <c r="I26" s="309"/>
      <c r="J26" s="787" t="s">
        <v>253</v>
      </c>
      <c r="K26" s="788"/>
      <c r="L26" s="336"/>
      <c r="M26" s="336"/>
      <c r="N26" s="338" t="str">
        <f t="shared" si="2"/>
        <v>NA</v>
      </c>
      <c r="O26" s="336"/>
      <c r="P26" s="339" t="str">
        <f t="shared" si="3"/>
        <v>NA</v>
      </c>
      <c r="Q26" s="309"/>
      <c r="R26" s="787" t="s">
        <v>253</v>
      </c>
      <c r="S26" s="788"/>
      <c r="T26" s="336"/>
      <c r="U26" s="336"/>
      <c r="V26" s="338" t="str">
        <f t="shared" si="4"/>
        <v>NA</v>
      </c>
      <c r="W26" s="336"/>
      <c r="X26" s="339" t="str">
        <f t="shared" si="5"/>
        <v>NA</v>
      </c>
      <c r="Y26" s="309"/>
      <c r="Z26" s="787" t="s">
        <v>253</v>
      </c>
      <c r="AA26" s="788"/>
      <c r="AB26" s="336"/>
      <c r="AC26" s="336"/>
      <c r="AD26" s="338" t="str">
        <f t="shared" si="6"/>
        <v>NA</v>
      </c>
      <c r="AE26" s="336"/>
      <c r="AF26" s="339" t="str">
        <f t="shared" si="7"/>
        <v>NA</v>
      </c>
      <c r="AG26" s="309"/>
    </row>
    <row r="27" spans="2:33" ht="17.100000000000001" customHeight="1" x14ac:dyDescent="0.2">
      <c r="B27" s="787" t="s">
        <v>254</v>
      </c>
      <c r="C27" s="788"/>
      <c r="D27" s="336"/>
      <c r="E27" s="336"/>
      <c r="F27" s="338" t="str">
        <f t="shared" si="0"/>
        <v>NA</v>
      </c>
      <c r="G27" s="336"/>
      <c r="H27" s="339" t="str">
        <f t="shared" si="1"/>
        <v>NA</v>
      </c>
      <c r="I27" s="309"/>
      <c r="J27" s="787" t="s">
        <v>254</v>
      </c>
      <c r="K27" s="788"/>
      <c r="L27" s="336"/>
      <c r="M27" s="336"/>
      <c r="N27" s="338" t="str">
        <f t="shared" si="2"/>
        <v>NA</v>
      </c>
      <c r="O27" s="336"/>
      <c r="P27" s="339" t="str">
        <f t="shared" si="3"/>
        <v>NA</v>
      </c>
      <c r="Q27" s="309"/>
      <c r="R27" s="787" t="s">
        <v>254</v>
      </c>
      <c r="S27" s="788"/>
      <c r="T27" s="336"/>
      <c r="U27" s="336"/>
      <c r="V27" s="338" t="str">
        <f t="shared" si="4"/>
        <v>NA</v>
      </c>
      <c r="W27" s="336"/>
      <c r="X27" s="339" t="str">
        <f t="shared" si="5"/>
        <v>NA</v>
      </c>
      <c r="Y27" s="309"/>
      <c r="Z27" s="787" t="s">
        <v>254</v>
      </c>
      <c r="AA27" s="788"/>
      <c r="AB27" s="336"/>
      <c r="AC27" s="336"/>
      <c r="AD27" s="338" t="str">
        <f t="shared" si="6"/>
        <v>NA</v>
      </c>
      <c r="AE27" s="336"/>
      <c r="AF27" s="339" t="str">
        <f t="shared" si="7"/>
        <v>NA</v>
      </c>
      <c r="AG27" s="309"/>
    </row>
    <row r="28" spans="2:33" ht="17.100000000000001" customHeight="1" x14ac:dyDescent="0.2">
      <c r="B28" s="787" t="s">
        <v>255</v>
      </c>
      <c r="C28" s="788"/>
      <c r="D28" s="336"/>
      <c r="E28" s="336"/>
      <c r="F28" s="338" t="str">
        <f t="shared" si="0"/>
        <v>NA</v>
      </c>
      <c r="G28" s="336"/>
      <c r="H28" s="339" t="str">
        <f t="shared" si="1"/>
        <v>NA</v>
      </c>
      <c r="I28" s="309"/>
      <c r="J28" s="787" t="s">
        <v>255</v>
      </c>
      <c r="K28" s="788"/>
      <c r="L28" s="336"/>
      <c r="M28" s="336"/>
      <c r="N28" s="338" t="str">
        <f t="shared" si="2"/>
        <v>NA</v>
      </c>
      <c r="O28" s="336"/>
      <c r="P28" s="339" t="str">
        <f t="shared" si="3"/>
        <v>NA</v>
      </c>
      <c r="Q28" s="309"/>
      <c r="R28" s="787" t="s">
        <v>255</v>
      </c>
      <c r="S28" s="788"/>
      <c r="T28" s="336"/>
      <c r="U28" s="336"/>
      <c r="V28" s="338" t="str">
        <f t="shared" si="4"/>
        <v>NA</v>
      </c>
      <c r="W28" s="336"/>
      <c r="X28" s="339" t="str">
        <f t="shared" si="5"/>
        <v>NA</v>
      </c>
      <c r="Y28" s="309"/>
      <c r="Z28" s="787" t="s">
        <v>255</v>
      </c>
      <c r="AA28" s="788"/>
      <c r="AB28" s="336"/>
      <c r="AC28" s="336"/>
      <c r="AD28" s="338" t="str">
        <f t="shared" si="6"/>
        <v>NA</v>
      </c>
      <c r="AE28" s="336"/>
      <c r="AF28" s="339" t="str">
        <f t="shared" si="7"/>
        <v>NA</v>
      </c>
      <c r="AG28" s="309"/>
    </row>
    <row r="29" spans="2:33" ht="17.100000000000001" customHeight="1" x14ac:dyDescent="0.2">
      <c r="B29" s="787" t="s">
        <v>248</v>
      </c>
      <c r="C29" s="788"/>
      <c r="D29" s="336"/>
      <c r="E29" s="336"/>
      <c r="F29" s="338" t="str">
        <f t="shared" si="0"/>
        <v>NA</v>
      </c>
      <c r="G29" s="336"/>
      <c r="H29" s="339" t="str">
        <f t="shared" si="1"/>
        <v>NA</v>
      </c>
      <c r="I29" s="309"/>
      <c r="J29" s="787" t="s">
        <v>248</v>
      </c>
      <c r="K29" s="788"/>
      <c r="L29" s="336"/>
      <c r="M29" s="336"/>
      <c r="N29" s="338" t="str">
        <f t="shared" si="2"/>
        <v>NA</v>
      </c>
      <c r="O29" s="336"/>
      <c r="P29" s="339" t="str">
        <f t="shared" si="3"/>
        <v>NA</v>
      </c>
      <c r="Q29" s="309"/>
      <c r="R29" s="787" t="s">
        <v>248</v>
      </c>
      <c r="S29" s="788"/>
      <c r="T29" s="336"/>
      <c r="U29" s="336"/>
      <c r="V29" s="338" t="str">
        <f t="shared" si="4"/>
        <v>NA</v>
      </c>
      <c r="W29" s="336"/>
      <c r="X29" s="339" t="str">
        <f t="shared" si="5"/>
        <v>NA</v>
      </c>
      <c r="Y29" s="309"/>
      <c r="Z29" s="787" t="s">
        <v>248</v>
      </c>
      <c r="AA29" s="788"/>
      <c r="AB29" s="336"/>
      <c r="AC29" s="336"/>
      <c r="AD29" s="338" t="str">
        <f t="shared" si="6"/>
        <v>NA</v>
      </c>
      <c r="AE29" s="336"/>
      <c r="AF29" s="339" t="str">
        <f t="shared" si="7"/>
        <v>NA</v>
      </c>
      <c r="AG29" s="309"/>
    </row>
    <row r="30" spans="2:33" ht="17.100000000000001" customHeight="1" x14ac:dyDescent="0.2">
      <c r="B30" s="787"/>
      <c r="C30" s="788"/>
      <c r="D30" s="340"/>
      <c r="E30" s="341"/>
      <c r="F30" s="338"/>
      <c r="G30" s="341"/>
      <c r="H30" s="339"/>
      <c r="I30" s="309"/>
      <c r="J30" s="787"/>
      <c r="K30" s="788"/>
      <c r="L30" s="340"/>
      <c r="M30" s="341"/>
      <c r="N30" s="338"/>
      <c r="O30" s="341"/>
      <c r="P30" s="339"/>
      <c r="Q30" s="309"/>
      <c r="R30" s="787"/>
      <c r="S30" s="788"/>
      <c r="T30" s="340"/>
      <c r="U30" s="341"/>
      <c r="V30" s="338"/>
      <c r="W30" s="341"/>
      <c r="X30" s="339"/>
      <c r="Y30" s="309"/>
      <c r="Z30" s="787"/>
      <c r="AA30" s="788"/>
      <c r="AB30" s="340"/>
      <c r="AC30" s="341"/>
      <c r="AD30" s="338"/>
      <c r="AE30" s="341"/>
      <c r="AF30" s="339"/>
      <c r="AG30" s="309"/>
    </row>
    <row r="31" spans="2:33" ht="17.100000000000001" customHeight="1" x14ac:dyDescent="0.2">
      <c r="B31" s="781" t="s">
        <v>256</v>
      </c>
      <c r="C31" s="782"/>
      <c r="D31" s="346">
        <f>+D21+D24+D25+D26+D27+D28+D29</f>
        <v>0</v>
      </c>
      <c r="E31" s="346">
        <f>+E21+E24+E25+E26+E27+E28+E29</f>
        <v>0</v>
      </c>
      <c r="F31" s="334" t="str">
        <f>IF(D31=0,"NA",(E31-D31)/D31)</f>
        <v>NA</v>
      </c>
      <c r="G31" s="346">
        <f>+G21+G24+G25+G26+G27+G28+G29</f>
        <v>0</v>
      </c>
      <c r="H31" s="347" t="str">
        <f>IF(E31=0,"NA",(G31-E31)/E31)</f>
        <v>NA</v>
      </c>
      <c r="I31" s="309"/>
      <c r="J31" s="781" t="s">
        <v>256</v>
      </c>
      <c r="K31" s="782"/>
      <c r="L31" s="346">
        <f>+L21+L24+L25+L26+L27+L28+L29</f>
        <v>0</v>
      </c>
      <c r="M31" s="346">
        <f>+M21+M24+M25+M26+M27+M28+M29</f>
        <v>0</v>
      </c>
      <c r="N31" s="334" t="str">
        <f>IF(L31=0, "NA", (M31-L31)/M31)</f>
        <v>NA</v>
      </c>
      <c r="O31" s="346">
        <f>+O21+O24+O25+O26+O27+O28+O29</f>
        <v>0</v>
      </c>
      <c r="P31" s="347" t="str">
        <f>IF(M31=0,"NA",(O31-M31)/M31)</f>
        <v>NA</v>
      </c>
      <c r="Q31" s="309"/>
      <c r="R31" s="781" t="s">
        <v>256</v>
      </c>
      <c r="S31" s="782"/>
      <c r="T31" s="346">
        <f>+T21+T24+T25+T26+T27+T28+T29</f>
        <v>0</v>
      </c>
      <c r="U31" s="346">
        <f>+U21+U24+U25+U26+U27+U28+U29</f>
        <v>0</v>
      </c>
      <c r="V31" s="334" t="str">
        <f>IF(T31=0, "NA", (U31-T31)/T31)</f>
        <v>NA</v>
      </c>
      <c r="W31" s="346">
        <f>+W21+W24+W25+W26+W27+W28+W29</f>
        <v>0</v>
      </c>
      <c r="X31" s="347" t="str">
        <f>IF(U31=0,"NA",(W31-U31)/U31)</f>
        <v>NA</v>
      </c>
      <c r="Y31" s="309"/>
      <c r="Z31" s="781" t="s">
        <v>256</v>
      </c>
      <c r="AA31" s="782"/>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2:33" ht="17.100000000000001" customHeight="1" x14ac:dyDescent="0.2">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2:33" ht="17.100000000000001" customHeight="1" x14ac:dyDescent="0.2">
      <c r="B33" s="787" t="s">
        <v>257</v>
      </c>
      <c r="C33" s="788"/>
      <c r="D33" s="340"/>
      <c r="E33" s="341"/>
      <c r="F33" s="338"/>
      <c r="G33" s="341"/>
      <c r="H33" s="339"/>
      <c r="I33" s="309"/>
      <c r="J33" s="787" t="s">
        <v>257</v>
      </c>
      <c r="K33" s="788"/>
      <c r="L33" s="340"/>
      <c r="M33" s="341"/>
      <c r="N33" s="338"/>
      <c r="O33" s="341"/>
      <c r="P33" s="339"/>
      <c r="Q33" s="309"/>
      <c r="R33" s="787" t="s">
        <v>257</v>
      </c>
      <c r="S33" s="788"/>
      <c r="T33" s="340"/>
      <c r="U33" s="341"/>
      <c r="V33" s="338"/>
      <c r="W33" s="341"/>
      <c r="X33" s="339"/>
      <c r="Y33" s="309"/>
      <c r="Z33" s="787" t="s">
        <v>257</v>
      </c>
      <c r="AA33" s="788"/>
      <c r="AB33" s="340"/>
      <c r="AC33" s="341"/>
      <c r="AD33" s="338"/>
      <c r="AE33" s="341"/>
      <c r="AF33" s="339"/>
      <c r="AG33" s="309"/>
    </row>
    <row r="34" spans="2:33" ht="17.100000000000001" customHeight="1" x14ac:dyDescent="0.2">
      <c r="B34" s="787" t="s">
        <v>258</v>
      </c>
      <c r="C34" s="788"/>
      <c r="D34" s="336"/>
      <c r="E34" s="336"/>
      <c r="F34" s="338" t="str">
        <f t="shared" ref="F34:F41" si="8">IF(D34=0,"NA",(E34-D34)/D34)</f>
        <v>NA</v>
      </c>
      <c r="G34" s="336"/>
      <c r="H34" s="339" t="str">
        <f t="shared" ref="H34:H40" si="9">IF(E34=0,"NA",(G34-E34)/E34)</f>
        <v>NA</v>
      </c>
      <c r="I34" s="309"/>
      <c r="J34" s="787" t="s">
        <v>258</v>
      </c>
      <c r="K34" s="788"/>
      <c r="L34" s="336"/>
      <c r="M34" s="336"/>
      <c r="N34" s="338" t="str">
        <f t="shared" ref="N34:N41" si="10">IF(L34=0, "NA", (M34-L34)/M34)</f>
        <v>NA</v>
      </c>
      <c r="O34" s="336"/>
      <c r="P34" s="339" t="str">
        <f t="shared" ref="P34:P40" si="11">IF(M34=0,"NA",(O34-M34)/M34)</f>
        <v>NA</v>
      </c>
      <c r="Q34" s="309"/>
      <c r="R34" s="787" t="s">
        <v>258</v>
      </c>
      <c r="S34" s="788"/>
      <c r="T34" s="336"/>
      <c r="U34" s="336"/>
      <c r="V34" s="338" t="str">
        <f t="shared" ref="V34:V41" si="12">IF(T34=0, "NA", (U34-T34)/T34)</f>
        <v>NA</v>
      </c>
      <c r="W34" s="336"/>
      <c r="X34" s="339" t="str">
        <f t="shared" ref="X34:X40" si="13">IF(U34=0,"NA",(W34-U34)/U34)</f>
        <v>NA</v>
      </c>
      <c r="Y34" s="309"/>
      <c r="Z34" s="787" t="s">
        <v>258</v>
      </c>
      <c r="AA34" s="788"/>
      <c r="AB34" s="336"/>
      <c r="AC34" s="336"/>
      <c r="AD34" s="338" t="str">
        <f t="shared" ref="AD34:AD41" si="14">IF(AB34=0, "NA", (AC34-AB34)/AB34)</f>
        <v>NA</v>
      </c>
      <c r="AE34" s="336"/>
      <c r="AF34" s="339" t="str">
        <f t="shared" ref="AF34:AF40" si="15">IF(AC34=0,"NA",(AE34-AC34)/AC34)</f>
        <v>NA</v>
      </c>
      <c r="AG34" s="309"/>
    </row>
    <row r="35" spans="2:33" ht="17.100000000000001" customHeight="1" x14ac:dyDescent="0.2">
      <c r="B35" s="787" t="s">
        <v>259</v>
      </c>
      <c r="C35" s="788"/>
      <c r="D35" s="336"/>
      <c r="E35" s="336"/>
      <c r="F35" s="338" t="str">
        <f t="shared" si="8"/>
        <v>NA</v>
      </c>
      <c r="G35" s="336"/>
      <c r="H35" s="339" t="str">
        <f t="shared" si="9"/>
        <v>NA</v>
      </c>
      <c r="I35" s="309"/>
      <c r="J35" s="787" t="s">
        <v>259</v>
      </c>
      <c r="K35" s="788"/>
      <c r="L35" s="336"/>
      <c r="M35" s="336"/>
      <c r="N35" s="338" t="str">
        <f t="shared" si="10"/>
        <v>NA</v>
      </c>
      <c r="O35" s="336"/>
      <c r="P35" s="339" t="str">
        <f t="shared" si="11"/>
        <v>NA</v>
      </c>
      <c r="Q35" s="309"/>
      <c r="R35" s="787" t="s">
        <v>259</v>
      </c>
      <c r="S35" s="788"/>
      <c r="T35" s="336"/>
      <c r="U35" s="336"/>
      <c r="V35" s="338" t="str">
        <f t="shared" si="12"/>
        <v>NA</v>
      </c>
      <c r="W35" s="336"/>
      <c r="X35" s="339" t="str">
        <f t="shared" si="13"/>
        <v>NA</v>
      </c>
      <c r="Y35" s="309"/>
      <c r="Z35" s="787" t="s">
        <v>259</v>
      </c>
      <c r="AA35" s="788"/>
      <c r="AB35" s="336"/>
      <c r="AC35" s="336"/>
      <c r="AD35" s="338" t="str">
        <f t="shared" si="14"/>
        <v>NA</v>
      </c>
      <c r="AE35" s="336"/>
      <c r="AF35" s="339" t="str">
        <f t="shared" si="15"/>
        <v>NA</v>
      </c>
      <c r="AG35" s="309"/>
    </row>
    <row r="36" spans="2:33" ht="17.100000000000001" customHeight="1" x14ac:dyDescent="0.2">
      <c r="B36" s="787" t="s">
        <v>24</v>
      </c>
      <c r="C36" s="788"/>
      <c r="D36" s="336"/>
      <c r="E36" s="336"/>
      <c r="F36" s="338" t="str">
        <f t="shared" si="8"/>
        <v>NA</v>
      </c>
      <c r="G36" s="336"/>
      <c r="H36" s="339" t="str">
        <f t="shared" si="9"/>
        <v>NA</v>
      </c>
      <c r="I36" s="309"/>
      <c r="J36" s="787" t="s">
        <v>24</v>
      </c>
      <c r="K36" s="788"/>
      <c r="L36" s="336"/>
      <c r="M36" s="336"/>
      <c r="N36" s="338" t="str">
        <f t="shared" si="10"/>
        <v>NA</v>
      </c>
      <c r="O36" s="336"/>
      <c r="P36" s="339" t="str">
        <f t="shared" si="11"/>
        <v>NA</v>
      </c>
      <c r="Q36" s="309"/>
      <c r="R36" s="787" t="s">
        <v>24</v>
      </c>
      <c r="S36" s="788"/>
      <c r="T36" s="336"/>
      <c r="U36" s="336"/>
      <c r="V36" s="338" t="str">
        <f t="shared" si="12"/>
        <v>NA</v>
      </c>
      <c r="W36" s="336"/>
      <c r="X36" s="339" t="str">
        <f t="shared" si="13"/>
        <v>NA</v>
      </c>
      <c r="Y36" s="309"/>
      <c r="Z36" s="787" t="s">
        <v>24</v>
      </c>
      <c r="AA36" s="788"/>
      <c r="AB36" s="336"/>
      <c r="AC36" s="336"/>
      <c r="AD36" s="338" t="str">
        <f t="shared" si="14"/>
        <v>NA</v>
      </c>
      <c r="AE36" s="336"/>
      <c r="AF36" s="339" t="str">
        <f t="shared" si="15"/>
        <v>NA</v>
      </c>
      <c r="AG36" s="309"/>
    </row>
    <row r="37" spans="2:33" ht="17.100000000000001" customHeight="1" x14ac:dyDescent="0.2">
      <c r="B37" s="787" t="s">
        <v>260</v>
      </c>
      <c r="C37" s="788"/>
      <c r="D37" s="336"/>
      <c r="E37" s="336"/>
      <c r="F37" s="338" t="str">
        <f t="shared" si="8"/>
        <v>NA</v>
      </c>
      <c r="G37" s="336"/>
      <c r="H37" s="339" t="str">
        <f t="shared" si="9"/>
        <v>NA</v>
      </c>
      <c r="I37" s="309"/>
      <c r="J37" s="787" t="s">
        <v>260</v>
      </c>
      <c r="K37" s="788"/>
      <c r="L37" s="336"/>
      <c r="M37" s="336"/>
      <c r="N37" s="338" t="str">
        <f t="shared" si="10"/>
        <v>NA</v>
      </c>
      <c r="O37" s="336"/>
      <c r="P37" s="339" t="str">
        <f t="shared" si="11"/>
        <v>NA</v>
      </c>
      <c r="Q37" s="309"/>
      <c r="R37" s="787" t="s">
        <v>260</v>
      </c>
      <c r="S37" s="788"/>
      <c r="T37" s="336"/>
      <c r="U37" s="336"/>
      <c r="V37" s="338" t="str">
        <f t="shared" si="12"/>
        <v>NA</v>
      </c>
      <c r="W37" s="336"/>
      <c r="X37" s="339" t="str">
        <f t="shared" si="13"/>
        <v>NA</v>
      </c>
      <c r="Y37" s="309"/>
      <c r="Z37" s="787" t="s">
        <v>260</v>
      </c>
      <c r="AA37" s="788"/>
      <c r="AB37" s="336"/>
      <c r="AC37" s="336"/>
      <c r="AD37" s="338" t="str">
        <f t="shared" si="14"/>
        <v>NA</v>
      </c>
      <c r="AE37" s="336"/>
      <c r="AF37" s="339" t="str">
        <f t="shared" si="15"/>
        <v>NA</v>
      </c>
      <c r="AG37" s="309"/>
    </row>
    <row r="38" spans="2:33" ht="17.100000000000001" customHeight="1" x14ac:dyDescent="0.2">
      <c r="B38" s="787" t="s">
        <v>261</v>
      </c>
      <c r="C38" s="788"/>
      <c r="D38" s="336"/>
      <c r="E38" s="336"/>
      <c r="F38" s="338" t="str">
        <f t="shared" si="8"/>
        <v>NA</v>
      </c>
      <c r="G38" s="336"/>
      <c r="H38" s="339" t="str">
        <f t="shared" si="9"/>
        <v>NA</v>
      </c>
      <c r="I38" s="309"/>
      <c r="J38" s="787" t="s">
        <v>261</v>
      </c>
      <c r="K38" s="788"/>
      <c r="L38" s="336"/>
      <c r="M38" s="336"/>
      <c r="N38" s="338" t="str">
        <f t="shared" si="10"/>
        <v>NA</v>
      </c>
      <c r="O38" s="336"/>
      <c r="P38" s="339" t="str">
        <f t="shared" si="11"/>
        <v>NA</v>
      </c>
      <c r="Q38" s="309"/>
      <c r="R38" s="787" t="s">
        <v>261</v>
      </c>
      <c r="S38" s="788"/>
      <c r="T38" s="336"/>
      <c r="U38" s="336"/>
      <c r="V38" s="338" t="str">
        <f t="shared" si="12"/>
        <v>NA</v>
      </c>
      <c r="W38" s="336"/>
      <c r="X38" s="339" t="str">
        <f t="shared" si="13"/>
        <v>NA</v>
      </c>
      <c r="Y38" s="309"/>
      <c r="Z38" s="787" t="s">
        <v>261</v>
      </c>
      <c r="AA38" s="788"/>
      <c r="AB38" s="336"/>
      <c r="AC38" s="336"/>
      <c r="AD38" s="338" t="str">
        <f t="shared" si="14"/>
        <v>NA</v>
      </c>
      <c r="AE38" s="336"/>
      <c r="AF38" s="339" t="str">
        <f t="shared" si="15"/>
        <v>NA</v>
      </c>
      <c r="AG38" s="309"/>
    </row>
    <row r="39" spans="2:33" ht="17.100000000000001" customHeight="1" x14ac:dyDescent="0.2">
      <c r="B39" s="787" t="s">
        <v>262</v>
      </c>
      <c r="C39" s="788"/>
      <c r="D39" s="336"/>
      <c r="E39" s="336"/>
      <c r="F39" s="338" t="str">
        <f t="shared" si="8"/>
        <v>NA</v>
      </c>
      <c r="G39" s="336"/>
      <c r="H39" s="339" t="str">
        <f t="shared" si="9"/>
        <v>NA</v>
      </c>
      <c r="I39" s="309"/>
      <c r="J39" s="787" t="s">
        <v>262</v>
      </c>
      <c r="K39" s="788"/>
      <c r="L39" s="336"/>
      <c r="M39" s="336"/>
      <c r="N39" s="338" t="str">
        <f t="shared" si="10"/>
        <v>NA</v>
      </c>
      <c r="O39" s="336"/>
      <c r="P39" s="339" t="str">
        <f t="shared" si="11"/>
        <v>NA</v>
      </c>
      <c r="Q39" s="309"/>
      <c r="R39" s="787" t="s">
        <v>262</v>
      </c>
      <c r="S39" s="788"/>
      <c r="T39" s="336"/>
      <c r="U39" s="336"/>
      <c r="V39" s="338" t="str">
        <f t="shared" si="12"/>
        <v>NA</v>
      </c>
      <c r="W39" s="336"/>
      <c r="X39" s="339" t="str">
        <f t="shared" si="13"/>
        <v>NA</v>
      </c>
      <c r="Y39" s="309"/>
      <c r="Z39" s="787" t="s">
        <v>262</v>
      </c>
      <c r="AA39" s="788"/>
      <c r="AB39" s="336"/>
      <c r="AC39" s="336"/>
      <c r="AD39" s="338" t="str">
        <f t="shared" si="14"/>
        <v>NA</v>
      </c>
      <c r="AE39" s="336"/>
      <c r="AF39" s="339" t="str">
        <f t="shared" si="15"/>
        <v>NA</v>
      </c>
      <c r="AG39" s="309"/>
    </row>
    <row r="40" spans="2:33" ht="17.100000000000001" customHeight="1" x14ac:dyDescent="0.2">
      <c r="B40" s="787" t="s">
        <v>263</v>
      </c>
      <c r="C40" s="788"/>
      <c r="D40" s="336"/>
      <c r="E40" s="336"/>
      <c r="F40" s="338" t="str">
        <f t="shared" si="8"/>
        <v>NA</v>
      </c>
      <c r="G40" s="336"/>
      <c r="H40" s="339" t="str">
        <f t="shared" si="9"/>
        <v>NA</v>
      </c>
      <c r="I40" s="309"/>
      <c r="J40" s="787" t="s">
        <v>263</v>
      </c>
      <c r="K40" s="788"/>
      <c r="L40" s="336"/>
      <c r="M40" s="336"/>
      <c r="N40" s="338" t="str">
        <f t="shared" si="10"/>
        <v>NA</v>
      </c>
      <c r="O40" s="336"/>
      <c r="P40" s="339" t="str">
        <f t="shared" si="11"/>
        <v>NA</v>
      </c>
      <c r="Q40" s="309"/>
      <c r="R40" s="787" t="s">
        <v>263</v>
      </c>
      <c r="S40" s="788"/>
      <c r="T40" s="336"/>
      <c r="U40" s="336"/>
      <c r="V40" s="338" t="str">
        <f t="shared" si="12"/>
        <v>NA</v>
      </c>
      <c r="W40" s="336"/>
      <c r="X40" s="339" t="str">
        <f t="shared" si="13"/>
        <v>NA</v>
      </c>
      <c r="Y40" s="309"/>
      <c r="Z40" s="787" t="s">
        <v>263</v>
      </c>
      <c r="AA40" s="788"/>
      <c r="AB40" s="336"/>
      <c r="AC40" s="336"/>
      <c r="AD40" s="338" t="str">
        <f t="shared" si="14"/>
        <v>NA</v>
      </c>
      <c r="AE40" s="336"/>
      <c r="AF40" s="339" t="str">
        <f t="shared" si="15"/>
        <v>NA</v>
      </c>
      <c r="AG40" s="309"/>
    </row>
    <row r="41" spans="2:33" ht="27.75" customHeight="1" x14ac:dyDescent="0.2">
      <c r="B41" s="781" t="s">
        <v>264</v>
      </c>
      <c r="C41" s="782"/>
      <c r="D41" s="346">
        <f>SUM(D31:D40)</f>
        <v>0</v>
      </c>
      <c r="E41" s="346">
        <f>SUM(E31:E40)</f>
        <v>0</v>
      </c>
      <c r="F41" s="334" t="str">
        <f t="shared" si="8"/>
        <v>NA</v>
      </c>
      <c r="G41" s="346">
        <f>SUM(G31:G40)</f>
        <v>0</v>
      </c>
      <c r="H41" s="352" t="str">
        <f>IF(E41=0,"NA",(G41-E41)/E41)</f>
        <v>NA</v>
      </c>
      <c r="I41" s="309"/>
      <c r="J41" s="781" t="s">
        <v>264</v>
      </c>
      <c r="K41" s="782"/>
      <c r="L41" s="346">
        <f>SUM(L31:L40)</f>
        <v>0</v>
      </c>
      <c r="M41" s="346">
        <f>SUM(M31:M40)</f>
        <v>0</v>
      </c>
      <c r="N41" s="334" t="str">
        <f t="shared" si="10"/>
        <v>NA</v>
      </c>
      <c r="O41" s="346">
        <f>SUM(O31:O40)</f>
        <v>0</v>
      </c>
      <c r="P41" s="352" t="str">
        <f>IF(M41=0,"NA",(O41-M41)/M41)</f>
        <v>NA</v>
      </c>
      <c r="Q41" s="309"/>
      <c r="R41" s="781" t="s">
        <v>264</v>
      </c>
      <c r="S41" s="782"/>
      <c r="T41" s="346">
        <f>SUM(T31:T40)</f>
        <v>0</v>
      </c>
      <c r="U41" s="346">
        <f>SUM(U31:U40)</f>
        <v>0</v>
      </c>
      <c r="V41" s="334" t="str">
        <f t="shared" si="12"/>
        <v>NA</v>
      </c>
      <c r="W41" s="346">
        <f>SUM(W31:W40)</f>
        <v>0</v>
      </c>
      <c r="X41" s="352" t="str">
        <f>IF(U41=0,"NA",(W41-U41)/U41)</f>
        <v>NA</v>
      </c>
      <c r="Y41" s="309"/>
      <c r="Z41" s="781" t="s">
        <v>264</v>
      </c>
      <c r="AA41" s="782"/>
      <c r="AB41" s="346">
        <f>SUM(AB31:AB40)</f>
        <v>0</v>
      </c>
      <c r="AC41" s="346">
        <f>SUM(AC31:AC40)</f>
        <v>0</v>
      </c>
      <c r="AD41" s="334" t="str">
        <f t="shared" si="14"/>
        <v>NA</v>
      </c>
      <c r="AE41" s="346">
        <f>SUM(AE31:AE40)</f>
        <v>0</v>
      </c>
      <c r="AF41" s="352" t="str">
        <f>IF(AC41=0,"NA",(AE41-AC41)/AC41)</f>
        <v>NA</v>
      </c>
      <c r="AG41" s="309"/>
    </row>
    <row r="42" spans="2:33" ht="17.100000000000001" customHeight="1" thickBot="1" x14ac:dyDescent="0.25">
      <c r="B42" s="789"/>
      <c r="C42" s="790"/>
      <c r="D42" s="353"/>
      <c r="E42" s="354"/>
      <c r="F42" s="355"/>
      <c r="G42" s="354"/>
      <c r="H42" s="356"/>
      <c r="I42" s="309"/>
      <c r="J42" s="789"/>
      <c r="K42" s="790"/>
      <c r="L42" s="353"/>
      <c r="M42" s="354"/>
      <c r="N42" s="355"/>
      <c r="O42" s="354"/>
      <c r="P42" s="356"/>
      <c r="Q42" s="309"/>
      <c r="R42" s="789"/>
      <c r="S42" s="790"/>
      <c r="T42" s="353"/>
      <c r="U42" s="354"/>
      <c r="V42" s="355"/>
      <c r="W42" s="354"/>
      <c r="X42" s="356"/>
      <c r="Y42" s="309"/>
      <c r="Z42" s="789"/>
      <c r="AA42" s="790"/>
      <c r="AB42" s="353"/>
      <c r="AC42" s="354"/>
      <c r="AD42" s="355"/>
      <c r="AE42" s="354"/>
      <c r="AF42" s="356"/>
      <c r="AG42" s="309"/>
    </row>
    <row r="43" spans="2:33" x14ac:dyDescent="0.2">
      <c r="B43" s="319"/>
      <c r="C43" s="357"/>
      <c r="D43" s="358"/>
      <c r="E43" s="358"/>
      <c r="F43" s="359"/>
      <c r="G43" s="358"/>
      <c r="H43" s="357"/>
      <c r="J43" s="319"/>
      <c r="K43" s="357"/>
      <c r="L43" s="358"/>
      <c r="M43" s="358"/>
      <c r="N43" s="359"/>
      <c r="O43" s="358"/>
      <c r="P43" s="360"/>
      <c r="V43" s="244"/>
    </row>
    <row r="44" spans="2:33" x14ac:dyDescent="0.2">
      <c r="F44" s="305"/>
      <c r="N44" s="305"/>
      <c r="P44" s="361"/>
      <c r="V44" s="244"/>
    </row>
    <row r="45" spans="2:33" x14ac:dyDescent="0.2">
      <c r="F45" s="305"/>
      <c r="N45" s="305"/>
      <c r="V45" s="244"/>
    </row>
    <row r="46" spans="2:33" x14ac:dyDescent="0.2">
      <c r="F46" s="305"/>
      <c r="N46" s="305"/>
      <c r="V46" s="244"/>
    </row>
    <row r="47" spans="2:33" x14ac:dyDescent="0.2">
      <c r="F47" s="305"/>
      <c r="N47" s="305"/>
      <c r="V47" s="244"/>
    </row>
    <row r="48" spans="2:33" x14ac:dyDescent="0.2">
      <c r="F48" s="305"/>
      <c r="N48" s="305"/>
      <c r="V48" s="244"/>
    </row>
    <row r="49" spans="6:22" x14ac:dyDescent="0.2">
      <c r="F49" s="305"/>
      <c r="N49" s="305"/>
      <c r="V49" s="244"/>
    </row>
    <row r="50" spans="6:22" x14ac:dyDescent="0.2">
      <c r="F50" s="305"/>
      <c r="N50" s="305"/>
      <c r="V50" s="244"/>
    </row>
    <row r="51" spans="6:22" x14ac:dyDescent="0.2">
      <c r="F51" s="305"/>
      <c r="N51" s="305"/>
      <c r="V51" s="244"/>
    </row>
    <row r="2898" spans="6:6" ht="15" customHeight="1" x14ac:dyDescent="0.2"/>
    <row r="2899" spans="6:6" ht="85.5" customHeight="1" x14ac:dyDescent="0.2">
      <c r="F2899" s="304"/>
    </row>
    <row r="2900" spans="6:6" ht="85.5" customHeight="1" x14ac:dyDescent="0.2">
      <c r="F2900" s="304"/>
    </row>
    <row r="2901" spans="6:6" ht="85.5" customHeight="1" x14ac:dyDescent="0.2">
      <c r="F2901" s="304"/>
    </row>
    <row r="2902" spans="6:6" ht="85.5" customHeight="1" x14ac:dyDescent="0.2">
      <c r="F2902" s="304"/>
    </row>
    <row r="2903" spans="6:6" ht="85.5" customHeight="1" x14ac:dyDescent="0.2">
      <c r="F2903" s="304"/>
    </row>
    <row r="2904" spans="6:6" ht="85.5" customHeight="1" x14ac:dyDescent="0.2">
      <c r="F2904" s="304"/>
    </row>
    <row r="2905" spans="6:6" ht="85.5" customHeight="1" x14ac:dyDescent="0.2">
      <c r="F2905" s="304"/>
    </row>
    <row r="2906" spans="6:6" ht="85.5" customHeight="1" x14ac:dyDescent="0.2"/>
    <row r="2907" spans="6:6" ht="85.5" customHeight="1" x14ac:dyDescent="0.2"/>
  </sheetData>
  <sheetProtection algorithmName="SHA-512" hashValue="HofcQ0K3wxjVJSDgcrVZuSXWN0pDecYvjIoMp9h+JAJurOwuqqKAB2QrDDJ6FhLaYQInJY5be0pas65JXdgTbg==" saltValue="9NXfD2/2Q5NDqElo1dMlyg==" spinCount="100000" sheet="1" objects="1" scenarios="1"/>
  <mergeCells count="144">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0:C10"/>
    <mergeCell ref="J10:K10"/>
    <mergeCell ref="R10:S10"/>
    <mergeCell ref="Z10:AA10"/>
    <mergeCell ref="B11:C11"/>
    <mergeCell ref="J11:K11"/>
    <mergeCell ref="R11:S11"/>
    <mergeCell ref="Z11:AA11"/>
    <mergeCell ref="X7:X8"/>
    <mergeCell ref="Z7:AA8"/>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s>
  <conditionalFormatting sqref="B7:H8 J7:P8 R7:X8 Z7:AF8">
    <cfRule type="expression" dxfId="80" priority="1">
      <formula>OR( Branding = "YBR")</formula>
    </cfRule>
    <cfRule type="expression" dxfId="79" priority="2">
      <formula>OR( Branding = "Paramount")</formula>
    </cfRule>
    <cfRule type="expression" dxfId="78" priority="3">
      <formula>OR( Branding = "Thrive")</formula>
    </cfRule>
    <cfRule type="expression" dxfId="77" priority="4">
      <formula>OR( Branding = "WINWIN")</formula>
    </cfRule>
    <cfRule type="expression" dxfId="76" priority="5">
      <formula>OR( Branding = "Go Beyond")</formula>
    </cfRule>
    <cfRule type="expression" dxfId="75" priority="6">
      <formula>OR( Branding = "RM")</formula>
    </cfRule>
    <cfRule type="expression" dxfId="74" priority="7">
      <formula>OR( Branding = "AFG Align")</formula>
    </cfRule>
    <cfRule type="expression" dxfId="73" priority="8">
      <formula>OR( Branding = "AFG")</formula>
    </cfRule>
    <cfRule type="expression" dxfId="72" priority="9">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441C5-70F8-4B36-9CFE-FA3E9077851F}">
  <sheetPr codeName="Sheet7">
    <tabColor theme="1"/>
    <pageSetUpPr fitToPage="1"/>
  </sheetPr>
  <dimension ref="B1:AG2907"/>
  <sheetViews>
    <sheetView showGridLines="0" zoomScaleNormal="100" workbookViewId="0">
      <selection activeCell="U20" sqref="U20"/>
    </sheetView>
  </sheetViews>
  <sheetFormatPr defaultColWidth="9.140625" defaultRowHeight="12.75" x14ac:dyDescent="0.2"/>
  <cols>
    <col min="1" max="1" width="5" style="1" customWidth="1"/>
    <col min="2" max="2" width="23.42578125" style="1" customWidth="1"/>
    <col min="3" max="3" width="5.7109375" style="372" customWidth="1"/>
    <col min="4" max="4" width="18.5703125" style="372" customWidth="1"/>
    <col min="5" max="5" width="14.7109375" style="372" customWidth="1"/>
    <col min="6" max="6" width="8.7109375" style="375" customWidth="1"/>
    <col min="7" max="7" width="14.7109375" style="372" customWidth="1"/>
    <col min="8" max="8" width="8.7109375" style="372" customWidth="1"/>
    <col min="9" max="9" width="1.28515625" style="1" customWidth="1"/>
    <col min="10" max="10" width="9.140625" style="1"/>
    <col min="11" max="11" width="19.28515625" style="372" customWidth="1"/>
    <col min="12" max="12" width="14.7109375" style="372" customWidth="1"/>
    <col min="13" max="13" width="16.28515625" style="372" bestFit="1" customWidth="1"/>
    <col min="14" max="14" width="8.7109375" style="375" customWidth="1"/>
    <col min="15" max="15" width="14.7109375" style="372" customWidth="1"/>
    <col min="16" max="16" width="8.7109375" style="372" customWidth="1"/>
    <col min="17" max="17" width="1.7109375" style="1" customWidth="1"/>
    <col min="18" max="18" width="9.140625" style="1"/>
    <col min="19" max="19" width="19.28515625" style="1" customWidth="1"/>
    <col min="20" max="21" width="14.7109375" style="1" customWidth="1"/>
    <col min="22" max="22" width="8.7109375" style="376" customWidth="1"/>
    <col min="23" max="23" width="14.7109375" style="1" customWidth="1"/>
    <col min="24" max="24" width="8.7109375" style="1" customWidth="1"/>
    <col min="25" max="25" width="1.7109375" style="1" customWidth="1"/>
    <col min="26" max="26" width="9.140625" style="1"/>
    <col min="27" max="27" width="19.28515625" style="1" customWidth="1"/>
    <col min="28" max="29" width="14.7109375" style="1" customWidth="1"/>
    <col min="30" max="30" width="8.7109375" style="1" customWidth="1"/>
    <col min="31" max="31" width="14.7109375" style="1" customWidth="1"/>
    <col min="32" max="32" width="8.7109375" style="1" customWidth="1"/>
    <col min="33" max="16384" width="9.140625" style="1"/>
  </cols>
  <sheetData>
    <row r="1" spans="2:33" ht="22.5" customHeight="1" x14ac:dyDescent="0.2">
      <c r="B1" s="324"/>
      <c r="C1" s="301" t="s">
        <v>235</v>
      </c>
      <c r="D1" s="302"/>
      <c r="E1" s="302"/>
      <c r="F1" s="302"/>
      <c r="G1" s="303"/>
      <c r="H1" s="306"/>
      <c r="I1" s="324"/>
      <c r="J1" s="324"/>
      <c r="K1" s="306"/>
      <c r="L1" s="306"/>
      <c r="M1" s="306"/>
      <c r="N1" s="307"/>
      <c r="O1" s="306"/>
      <c r="P1" s="306"/>
      <c r="Q1" s="324"/>
      <c r="R1" s="324"/>
      <c r="S1" s="324"/>
      <c r="T1" s="324"/>
      <c r="U1" s="324"/>
      <c r="V1" s="364"/>
      <c r="W1" s="324"/>
      <c r="X1" s="324"/>
    </row>
    <row r="2" spans="2:33" ht="20.25" customHeight="1" x14ac:dyDescent="0.2">
      <c r="B2" s="324"/>
      <c r="C2" s="306"/>
      <c r="D2" s="306"/>
      <c r="E2" s="306"/>
      <c r="F2" s="307"/>
      <c r="G2" s="306"/>
      <c r="H2" s="306"/>
      <c r="I2" s="324"/>
      <c r="J2" s="324"/>
      <c r="K2" s="306"/>
      <c r="L2" s="306"/>
      <c r="M2" s="306"/>
      <c r="N2" s="307"/>
      <c r="O2" s="306"/>
      <c r="P2" s="306"/>
      <c r="Q2" s="324"/>
      <c r="R2" s="324"/>
      <c r="S2" s="324"/>
      <c r="T2" s="324"/>
      <c r="U2" s="324"/>
      <c r="V2" s="364"/>
      <c r="W2" s="324"/>
      <c r="X2" s="324"/>
    </row>
    <row r="3" spans="2:33" ht="22.5" customHeight="1" x14ac:dyDescent="0.2">
      <c r="B3" s="365" t="s">
        <v>236</v>
      </c>
      <c r="C3" s="769" t="str">
        <f>Loans!B12</f>
        <v/>
      </c>
      <c r="D3" s="770"/>
      <c r="E3" s="770"/>
      <c r="F3" s="770"/>
      <c r="G3" s="770"/>
      <c r="H3" s="771"/>
      <c r="I3" s="309"/>
      <c r="J3" s="321"/>
      <c r="K3" s="322"/>
      <c r="L3" s="322"/>
      <c r="M3" s="322"/>
      <c r="N3" s="323"/>
      <c r="O3" s="322"/>
      <c r="P3" s="322"/>
      <c r="Q3" s="324"/>
      <c r="R3" s="324"/>
      <c r="S3" s="324"/>
      <c r="T3" s="324"/>
      <c r="U3" s="324"/>
      <c r="V3" s="364"/>
      <c r="W3" s="324"/>
      <c r="X3" s="324"/>
    </row>
    <row r="4" spans="2:33" ht="9.75" customHeight="1" x14ac:dyDescent="0.2">
      <c r="B4" s="320"/>
      <c r="C4" s="315"/>
      <c r="D4" s="315"/>
      <c r="E4" s="315"/>
      <c r="F4" s="315"/>
      <c r="G4" s="315"/>
      <c r="H4" s="315"/>
      <c r="I4" s="309"/>
      <c r="J4" s="321"/>
      <c r="K4" s="322"/>
      <c r="L4" s="322"/>
      <c r="M4" s="322"/>
      <c r="N4" s="323"/>
      <c r="O4" s="322"/>
      <c r="P4" s="322"/>
      <c r="Q4" s="324"/>
      <c r="R4" s="324"/>
      <c r="S4" s="324"/>
      <c r="T4" s="324"/>
      <c r="U4" s="324"/>
      <c r="V4" s="364"/>
      <c r="W4" s="324"/>
      <c r="X4" s="324"/>
    </row>
    <row r="5" spans="2:33" s="366" customFormat="1" ht="16.5" customHeight="1" x14ac:dyDescent="0.2">
      <c r="B5" s="776" t="s">
        <v>237</v>
      </c>
      <c r="C5" s="773"/>
      <c r="D5" s="316" t="str">
        <f>Applicants!I25</f>
        <v/>
      </c>
      <c r="E5" s="774" t="str">
        <f>Applicants!I26</f>
        <v/>
      </c>
      <c r="F5" s="774"/>
      <c r="G5" s="774"/>
      <c r="H5" s="775"/>
      <c r="I5" s="317"/>
      <c r="J5" s="776" t="s">
        <v>237</v>
      </c>
      <c r="K5" s="773"/>
      <c r="L5" s="316" t="str">
        <f>Applicants!J25</f>
        <v/>
      </c>
      <c r="M5" s="774" t="str">
        <f>Applicants!J26</f>
        <v/>
      </c>
      <c r="N5" s="774"/>
      <c r="O5" s="774"/>
      <c r="P5" s="775"/>
      <c r="Q5" s="318"/>
      <c r="R5" s="776" t="s">
        <v>237</v>
      </c>
      <c r="S5" s="773"/>
      <c r="T5" s="316" t="str">
        <f>Applicants!K25</f>
        <v/>
      </c>
      <c r="U5" s="774" t="str">
        <f>Applicants!K26</f>
        <v/>
      </c>
      <c r="V5" s="774"/>
      <c r="W5" s="774"/>
      <c r="X5" s="775"/>
      <c r="Z5" s="776" t="s">
        <v>237</v>
      </c>
      <c r="AA5" s="773"/>
      <c r="AB5" s="316" t="str">
        <f>Applicants!L25</f>
        <v/>
      </c>
      <c r="AC5" s="774" t="str">
        <f>Applicants!L26</f>
        <v/>
      </c>
      <c r="AD5" s="774"/>
      <c r="AE5" s="774"/>
      <c r="AF5" s="775"/>
    </row>
    <row r="6" spans="2:33" ht="7.5" customHeight="1" thickBot="1" x14ac:dyDescent="0.25">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2:33" s="78" customFormat="1" ht="17.100000000000001" customHeight="1" x14ac:dyDescent="0.25">
      <c r="B7" s="326" t="s">
        <v>238</v>
      </c>
      <c r="C7" s="327"/>
      <c r="D7" s="328" t="s">
        <v>239</v>
      </c>
      <c r="E7" s="328" t="s">
        <v>239</v>
      </c>
      <c r="F7" s="791" t="s">
        <v>240</v>
      </c>
      <c r="G7" s="328" t="s">
        <v>239</v>
      </c>
      <c r="H7" s="779" t="s">
        <v>240</v>
      </c>
      <c r="I7" s="309"/>
      <c r="J7" s="783" t="s">
        <v>241</v>
      </c>
      <c r="K7" s="784"/>
      <c r="L7" s="328" t="s">
        <v>239</v>
      </c>
      <c r="M7" s="328" t="s">
        <v>239</v>
      </c>
      <c r="N7" s="777" t="s">
        <v>240</v>
      </c>
      <c r="O7" s="328" t="s">
        <v>239</v>
      </c>
      <c r="P7" s="779" t="s">
        <v>240</v>
      </c>
      <c r="Q7" s="324"/>
      <c r="R7" s="783" t="s">
        <v>242</v>
      </c>
      <c r="S7" s="784"/>
      <c r="T7" s="328" t="s">
        <v>239</v>
      </c>
      <c r="U7" s="328" t="s">
        <v>239</v>
      </c>
      <c r="V7" s="777" t="s">
        <v>240</v>
      </c>
      <c r="W7" s="328" t="s">
        <v>239</v>
      </c>
      <c r="X7" s="779" t="s">
        <v>240</v>
      </c>
      <c r="Z7" s="783" t="s">
        <v>243</v>
      </c>
      <c r="AA7" s="784"/>
      <c r="AB7" s="328" t="s">
        <v>239</v>
      </c>
      <c r="AC7" s="328" t="s">
        <v>239</v>
      </c>
      <c r="AD7" s="777" t="s">
        <v>240</v>
      </c>
      <c r="AE7" s="328" t="s">
        <v>239</v>
      </c>
      <c r="AF7" s="779" t="s">
        <v>240</v>
      </c>
    </row>
    <row r="8" spans="2:33" s="78" customFormat="1" ht="17.100000000000001" customHeight="1" thickBot="1" x14ac:dyDescent="0.3">
      <c r="B8" s="329"/>
      <c r="C8" s="330"/>
      <c r="D8" s="331">
        <f>'Company Profit &amp; Loss'!D8</f>
        <v>45473</v>
      </c>
      <c r="E8" s="331">
        <f>'Company Profit &amp; Loss'!E8</f>
        <v>45838</v>
      </c>
      <c r="F8" s="792"/>
      <c r="G8" s="331">
        <f>'Company Profit &amp; Loss'!G8</f>
        <v>46203</v>
      </c>
      <c r="H8" s="780"/>
      <c r="I8" s="309"/>
      <c r="J8" s="785"/>
      <c r="K8" s="786"/>
      <c r="L8" s="331">
        <f>D8</f>
        <v>45473</v>
      </c>
      <c r="M8" s="331">
        <f>E8</f>
        <v>45838</v>
      </c>
      <c r="N8" s="778"/>
      <c r="O8" s="331">
        <f>G8</f>
        <v>46203</v>
      </c>
      <c r="P8" s="780"/>
      <c r="Q8" s="324"/>
      <c r="R8" s="785"/>
      <c r="S8" s="786"/>
      <c r="T8" s="331">
        <f>L8</f>
        <v>45473</v>
      </c>
      <c r="U8" s="331">
        <f>M8</f>
        <v>45838</v>
      </c>
      <c r="V8" s="778"/>
      <c r="W8" s="331">
        <f>O8</f>
        <v>46203</v>
      </c>
      <c r="X8" s="780"/>
      <c r="Z8" s="785"/>
      <c r="AA8" s="786"/>
      <c r="AB8" s="331">
        <f>T8</f>
        <v>45473</v>
      </c>
      <c r="AC8" s="331">
        <f>U8</f>
        <v>45838</v>
      </c>
      <c r="AD8" s="778"/>
      <c r="AE8" s="331">
        <f>W8</f>
        <v>46203</v>
      </c>
      <c r="AF8" s="780"/>
    </row>
    <row r="9" spans="2:33" s="78" customFormat="1" ht="17.100000000000001" customHeight="1" x14ac:dyDescent="0.2">
      <c r="B9" s="781"/>
      <c r="C9" s="782"/>
      <c r="D9" s="332"/>
      <c r="E9" s="333"/>
      <c r="F9" s="334"/>
      <c r="G9" s="333"/>
      <c r="H9" s="335"/>
      <c r="I9" s="309"/>
      <c r="J9" s="781"/>
      <c r="K9" s="782"/>
      <c r="L9" s="332"/>
      <c r="M9" s="333"/>
      <c r="N9" s="334"/>
      <c r="O9" s="333"/>
      <c r="P9" s="335"/>
      <c r="Q9" s="309"/>
      <c r="R9" s="781"/>
      <c r="S9" s="782"/>
      <c r="T9" s="332"/>
      <c r="U9" s="333"/>
      <c r="V9" s="334"/>
      <c r="W9" s="333"/>
      <c r="X9" s="335"/>
      <c r="Y9" s="309"/>
      <c r="Z9" s="781"/>
      <c r="AA9" s="782"/>
      <c r="AB9" s="332"/>
      <c r="AC9" s="333"/>
      <c r="AD9" s="334"/>
      <c r="AE9" s="333"/>
      <c r="AF9" s="335"/>
      <c r="AG9" s="309"/>
    </row>
    <row r="10" spans="2:33" s="78" customFormat="1" ht="17.100000000000001" customHeight="1" x14ac:dyDescent="0.2">
      <c r="B10" s="787" t="s">
        <v>244</v>
      </c>
      <c r="C10" s="788"/>
      <c r="D10" s="336"/>
      <c r="E10" s="337"/>
      <c r="F10" s="338" t="str">
        <f>IF(D10=0,"NA",(E10-D10)/D10)</f>
        <v>NA</v>
      </c>
      <c r="G10" s="336"/>
      <c r="H10" s="339" t="str">
        <f>IF(E10=0,"NA",(G10-E10)/E10)</f>
        <v>NA</v>
      </c>
      <c r="I10" s="309"/>
      <c r="J10" s="787" t="s">
        <v>244</v>
      </c>
      <c r="K10" s="788"/>
      <c r="L10" s="336"/>
      <c r="M10" s="337"/>
      <c r="N10" s="338" t="str">
        <f>IF(L10=0, "NA", (M10-L10)/M10)</f>
        <v>NA</v>
      </c>
      <c r="O10" s="336"/>
      <c r="P10" s="339" t="str">
        <f>IF(M10=0,"NA",(O10-M10)/M10)</f>
        <v>NA</v>
      </c>
      <c r="Q10" s="309"/>
      <c r="R10" s="787" t="s">
        <v>244</v>
      </c>
      <c r="S10" s="788"/>
      <c r="T10" s="336"/>
      <c r="U10" s="337"/>
      <c r="V10" s="338" t="str">
        <f>IF(T10=0, "NA", (U10-T10)/T10)</f>
        <v>NA</v>
      </c>
      <c r="W10" s="336"/>
      <c r="X10" s="339" t="str">
        <f>IF(U10=0,"NA",(W10-U10)/U10)</f>
        <v>NA</v>
      </c>
      <c r="Y10" s="309"/>
      <c r="Z10" s="787" t="s">
        <v>244</v>
      </c>
      <c r="AA10" s="788"/>
      <c r="AB10" s="336"/>
      <c r="AC10" s="337"/>
      <c r="AD10" s="338" t="str">
        <f>IF(AB10=0, "NA", (AC10-AB10)/AB10)</f>
        <v>NA</v>
      </c>
      <c r="AE10" s="336"/>
      <c r="AF10" s="339" t="str">
        <f>IF(AC10=0,"NA",(AE10-AC10)/AC10)</f>
        <v>NA</v>
      </c>
      <c r="AG10" s="309"/>
    </row>
    <row r="11" spans="2:33" s="78" customFormat="1" ht="17.100000000000001" customHeight="1" x14ac:dyDescent="0.2">
      <c r="B11" s="787"/>
      <c r="C11" s="788"/>
      <c r="D11" s="340"/>
      <c r="E11" s="341"/>
      <c r="F11" s="338"/>
      <c r="G11" s="340"/>
      <c r="H11" s="339"/>
      <c r="I11" s="309"/>
      <c r="J11" s="787"/>
      <c r="K11" s="788"/>
      <c r="L11" s="340"/>
      <c r="M11" s="341"/>
      <c r="N11" s="338"/>
      <c r="O11" s="340"/>
      <c r="P11" s="339"/>
      <c r="Q11" s="309"/>
      <c r="R11" s="787"/>
      <c r="S11" s="788"/>
      <c r="T11" s="340"/>
      <c r="U11" s="341"/>
      <c r="V11" s="338"/>
      <c r="W11" s="340"/>
      <c r="X11" s="339"/>
      <c r="Y11" s="309"/>
      <c r="Z11" s="787"/>
      <c r="AA11" s="788"/>
      <c r="AB11" s="340"/>
      <c r="AC11" s="341"/>
      <c r="AD11" s="338"/>
      <c r="AE11" s="340"/>
      <c r="AF11" s="339"/>
      <c r="AG11" s="309"/>
    </row>
    <row r="12" spans="2:33" s="78" customFormat="1" ht="17.100000000000001" customHeight="1" x14ac:dyDescent="0.2">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2:33" s="78" customFormat="1" ht="17.100000000000001" customHeight="1" x14ac:dyDescent="0.2">
      <c r="B13" s="787" t="s">
        <v>246</v>
      </c>
      <c r="C13" s="788"/>
      <c r="D13" s="336"/>
      <c r="E13" s="337"/>
      <c r="F13" s="338" t="str">
        <f>IF(D13=0,"NA",(E13-D13)/D13)</f>
        <v>NA</v>
      </c>
      <c r="G13" s="336"/>
      <c r="H13" s="339" t="str">
        <f>IF(E13=0,"NA",(G13-E13)/E13)</f>
        <v>NA</v>
      </c>
      <c r="I13" s="309"/>
      <c r="J13" s="787" t="s">
        <v>246</v>
      </c>
      <c r="K13" s="788"/>
      <c r="L13" s="336"/>
      <c r="M13" s="337"/>
      <c r="N13" s="338" t="str">
        <f>IF(L13=0, "NA", (M13-L13)/M13)</f>
        <v>NA</v>
      </c>
      <c r="O13" s="336"/>
      <c r="P13" s="339" t="str">
        <f>IF(M13=0,"NA",(O13-M13)/M13)</f>
        <v>NA</v>
      </c>
      <c r="Q13" s="309"/>
      <c r="R13" s="787" t="s">
        <v>246</v>
      </c>
      <c r="S13" s="788"/>
      <c r="T13" s="336"/>
      <c r="U13" s="337"/>
      <c r="V13" s="338" t="str">
        <f>IF(T13=0, "NA", (U13-T13)/T13)</f>
        <v>NA</v>
      </c>
      <c r="W13" s="336"/>
      <c r="X13" s="339" t="str">
        <f>IF(U13=0,"NA",(W13-U13)/U13)</f>
        <v>NA</v>
      </c>
      <c r="Y13" s="309"/>
      <c r="Z13" s="787" t="s">
        <v>246</v>
      </c>
      <c r="AA13" s="788"/>
      <c r="AB13" s="336"/>
      <c r="AC13" s="337"/>
      <c r="AD13" s="338" t="str">
        <f>IF(AB13=0, "NA", (AC13-AB13)/AB13)</f>
        <v>NA</v>
      </c>
      <c r="AE13" s="336"/>
      <c r="AF13" s="339" t="str">
        <f>IF(AC13=0,"NA",(AE13-AC13)/AC13)</f>
        <v>NA</v>
      </c>
      <c r="AG13" s="309"/>
    </row>
    <row r="14" spans="2:33" s="78" customFormat="1" ht="17.100000000000001" customHeight="1" x14ac:dyDescent="0.2">
      <c r="B14" s="787" t="s">
        <v>247</v>
      </c>
      <c r="C14" s="788"/>
      <c r="D14" s="336"/>
      <c r="E14" s="337"/>
      <c r="F14" s="338" t="str">
        <f>IF(D14=0,"NA",(E14-D14)/D14)</f>
        <v>NA</v>
      </c>
      <c r="G14" s="336"/>
      <c r="H14" s="339" t="str">
        <f>IF(E14=0,"NA",(G14-E14)/E14)</f>
        <v>NA</v>
      </c>
      <c r="I14" s="309"/>
      <c r="J14" s="787" t="s">
        <v>247</v>
      </c>
      <c r="K14" s="788"/>
      <c r="L14" s="336"/>
      <c r="M14" s="337"/>
      <c r="N14" s="338" t="str">
        <f>IF(L14=0, "NA", (M14-L14)/M14)</f>
        <v>NA</v>
      </c>
      <c r="O14" s="336"/>
      <c r="P14" s="339" t="str">
        <f>IF(M14=0,"NA",(O14-M14)/M14)</f>
        <v>NA</v>
      </c>
      <c r="Q14" s="309"/>
      <c r="R14" s="787" t="s">
        <v>247</v>
      </c>
      <c r="S14" s="788"/>
      <c r="T14" s="336"/>
      <c r="U14" s="337"/>
      <c r="V14" s="338" t="str">
        <f>IF(T14=0, "NA", (U14-T14)/T14)</f>
        <v>NA</v>
      </c>
      <c r="W14" s="336"/>
      <c r="X14" s="339" t="str">
        <f>IF(U14=0,"NA",(W14-U14)/U14)</f>
        <v>NA</v>
      </c>
      <c r="Y14" s="309"/>
      <c r="Z14" s="787" t="s">
        <v>247</v>
      </c>
      <c r="AA14" s="788"/>
      <c r="AB14" s="336"/>
      <c r="AC14" s="337"/>
      <c r="AD14" s="338" t="str">
        <f>IF(AB14=0, "NA", (AC14-AB14)/AB14)</f>
        <v>NA</v>
      </c>
      <c r="AE14" s="336"/>
      <c r="AF14" s="339" t="str">
        <f>IF(AC14=0,"NA",(AE14-AC14)/AC14)</f>
        <v>NA</v>
      </c>
      <c r="AG14" s="309"/>
    </row>
    <row r="15" spans="2:33" s="78" customFormat="1" ht="17.100000000000001" customHeight="1" x14ac:dyDescent="0.2">
      <c r="B15" s="787" t="s">
        <v>248</v>
      </c>
      <c r="C15" s="788"/>
      <c r="D15" s="336"/>
      <c r="E15" s="337"/>
      <c r="F15" s="338" t="str">
        <f>IF(D15=0,"NA",(E15-D15)/D15)</f>
        <v>NA</v>
      </c>
      <c r="G15" s="336"/>
      <c r="H15" s="339" t="str">
        <f>IF(E15=0,"NA",(G15-E15)/E15)</f>
        <v>NA</v>
      </c>
      <c r="I15" s="309"/>
      <c r="J15" s="787" t="s">
        <v>248</v>
      </c>
      <c r="K15" s="788"/>
      <c r="L15" s="336"/>
      <c r="M15" s="337"/>
      <c r="N15" s="338" t="str">
        <f>IF(L15=0, "NA", (M15-L15)/M15)</f>
        <v>NA</v>
      </c>
      <c r="O15" s="336"/>
      <c r="P15" s="339" t="str">
        <f>IF(M15=0,"NA",(O15-M15)/M15)</f>
        <v>NA</v>
      </c>
      <c r="Q15" s="309"/>
      <c r="R15" s="787" t="s">
        <v>248</v>
      </c>
      <c r="S15" s="788"/>
      <c r="T15" s="336"/>
      <c r="U15" s="337"/>
      <c r="V15" s="338" t="str">
        <f>IF(T15=0, "NA", (U15-T15)/T15)</f>
        <v>NA</v>
      </c>
      <c r="W15" s="336"/>
      <c r="X15" s="339" t="str">
        <f>IF(U15=0,"NA",(W15-U15)/U15)</f>
        <v>NA</v>
      </c>
      <c r="Y15" s="309"/>
      <c r="Z15" s="787" t="s">
        <v>248</v>
      </c>
      <c r="AA15" s="788"/>
      <c r="AB15" s="336"/>
      <c r="AC15" s="337"/>
      <c r="AD15" s="338" t="str">
        <f>IF(AB15=0, "NA", (AC15-AB15)/AB15)</f>
        <v>NA</v>
      </c>
      <c r="AE15" s="336"/>
      <c r="AF15" s="339" t="str">
        <f>IF(AC15=0,"NA",(AE15-AC15)/AC15)</f>
        <v>NA</v>
      </c>
      <c r="AG15" s="309"/>
    </row>
    <row r="16" spans="2:33" s="78" customFormat="1" ht="17.100000000000001" customHeight="1" x14ac:dyDescent="0.2">
      <c r="B16" s="787"/>
      <c r="C16" s="788"/>
      <c r="D16" s="340"/>
      <c r="E16" s="341"/>
      <c r="F16" s="338"/>
      <c r="G16" s="341"/>
      <c r="H16" s="339"/>
      <c r="I16" s="309"/>
      <c r="J16" s="787"/>
      <c r="K16" s="788"/>
      <c r="L16" s="340"/>
      <c r="M16" s="341"/>
      <c r="N16" s="338"/>
      <c r="O16" s="341"/>
      <c r="P16" s="339"/>
      <c r="Q16" s="309"/>
      <c r="R16" s="787"/>
      <c r="S16" s="788"/>
      <c r="T16" s="340"/>
      <c r="U16" s="341"/>
      <c r="V16" s="338"/>
      <c r="W16" s="341"/>
      <c r="X16" s="339"/>
      <c r="Y16" s="309"/>
      <c r="Z16" s="787"/>
      <c r="AA16" s="788"/>
      <c r="AB16" s="340"/>
      <c r="AC16" s="341"/>
      <c r="AD16" s="338"/>
      <c r="AE16" s="341"/>
      <c r="AF16" s="339"/>
      <c r="AG16" s="309"/>
    </row>
    <row r="17" spans="2:33" s="78" customFormat="1" ht="17.100000000000001" customHeight="1" x14ac:dyDescent="0.2">
      <c r="B17" s="781" t="s">
        <v>249</v>
      </c>
      <c r="C17" s="782"/>
      <c r="D17" s="346">
        <f>+D10-D13-D14-D15</f>
        <v>0</v>
      </c>
      <c r="E17" s="346">
        <f>+E10-E13-E14-E15</f>
        <v>0</v>
      </c>
      <c r="F17" s="334" t="str">
        <f>IF(D17=0,"NA",(E17-D17)/D17)</f>
        <v>NA</v>
      </c>
      <c r="G17" s="346">
        <f>+G10-G13-G14-G15</f>
        <v>0</v>
      </c>
      <c r="H17" s="347" t="str">
        <f>IF(E17=0,"NA",(G17-E17)/E17)</f>
        <v>NA</v>
      </c>
      <c r="I17" s="309"/>
      <c r="J17" s="781" t="s">
        <v>249</v>
      </c>
      <c r="K17" s="782"/>
      <c r="L17" s="346">
        <f>+L10-L13-L14-L15</f>
        <v>0</v>
      </c>
      <c r="M17" s="346">
        <f>+M10-M13-M14-M15</f>
        <v>0</v>
      </c>
      <c r="N17" s="334" t="str">
        <f>IF(L17=0, "NA", (M17-L17)/M17)</f>
        <v>NA</v>
      </c>
      <c r="O17" s="346">
        <f>+O10-O13-O14-O15</f>
        <v>0</v>
      </c>
      <c r="P17" s="347" t="str">
        <f>IF(M17=0,"NA",(O17-M17)/M17)</f>
        <v>NA</v>
      </c>
      <c r="Q17" s="309"/>
      <c r="R17" s="781" t="s">
        <v>249</v>
      </c>
      <c r="S17" s="782"/>
      <c r="T17" s="346">
        <f>+T10-T13-T14-T15</f>
        <v>0</v>
      </c>
      <c r="U17" s="346">
        <f>+U10-U13-U14-U15</f>
        <v>0</v>
      </c>
      <c r="V17" s="334" t="str">
        <f>IF(T17=0, "NA", (U17-T17)/T17)</f>
        <v>NA</v>
      </c>
      <c r="W17" s="346">
        <f>+W10-W13-W14-W15</f>
        <v>0</v>
      </c>
      <c r="X17" s="347" t="str">
        <f>IF(U17=0,"NA",(W17-U17)/U17)</f>
        <v>NA</v>
      </c>
      <c r="Y17" s="309"/>
      <c r="Z17" s="781" t="s">
        <v>249</v>
      </c>
      <c r="AA17" s="782"/>
      <c r="AB17" s="346">
        <f>+AB10-AB13-AB14-AB15</f>
        <v>0</v>
      </c>
      <c r="AC17" s="346">
        <f>+AC10-AC13-AC14-AC15</f>
        <v>0</v>
      </c>
      <c r="AD17" s="334" t="str">
        <f>IF(AB17=0, "NA", (AC17-AB17)/AB17)</f>
        <v>NA</v>
      </c>
      <c r="AE17" s="346">
        <f>+AE10-AE13-AE14-AE15</f>
        <v>0</v>
      </c>
      <c r="AF17" s="347" t="str">
        <f>IF(AC17=0,"NA",(AE17-AC17)/AC17)</f>
        <v>NA</v>
      </c>
      <c r="AG17" s="309"/>
    </row>
    <row r="18" spans="2:33" s="78" customFormat="1" ht="17.100000000000001" customHeight="1" x14ac:dyDescent="0.2">
      <c r="B18" s="787"/>
      <c r="C18" s="788"/>
      <c r="D18" s="340"/>
      <c r="E18" s="341"/>
      <c r="F18" s="338"/>
      <c r="G18" s="341"/>
      <c r="H18" s="339"/>
      <c r="I18" s="309"/>
      <c r="J18" s="787"/>
      <c r="K18" s="788"/>
      <c r="L18" s="340"/>
      <c r="M18" s="341"/>
      <c r="N18" s="338"/>
      <c r="O18" s="341"/>
      <c r="P18" s="339"/>
      <c r="Q18" s="309"/>
      <c r="R18" s="787"/>
      <c r="S18" s="788"/>
      <c r="T18" s="340"/>
      <c r="U18" s="341"/>
      <c r="V18" s="338"/>
      <c r="W18" s="341"/>
      <c r="X18" s="339"/>
      <c r="Y18" s="309"/>
      <c r="Z18" s="787"/>
      <c r="AA18" s="788"/>
      <c r="AB18" s="340"/>
      <c r="AC18" s="341"/>
      <c r="AD18" s="338"/>
      <c r="AE18" s="341"/>
      <c r="AF18" s="339"/>
      <c r="AG18" s="309"/>
    </row>
    <row r="19" spans="2:33" s="78" customFormat="1" ht="17.100000000000001" customHeight="1" x14ac:dyDescent="0.2">
      <c r="B19" s="787" t="s">
        <v>250</v>
      </c>
      <c r="C19" s="788"/>
      <c r="D19" s="336"/>
      <c r="E19" s="336"/>
      <c r="F19" s="338" t="str">
        <f>IF(D19=0,"NA",(E19-D19)/D19)</f>
        <v>NA</v>
      </c>
      <c r="G19" s="336"/>
      <c r="H19" s="339" t="str">
        <f>IF(E19=0,"NA",(G19-E19)/E19)</f>
        <v>NA</v>
      </c>
      <c r="I19" s="309"/>
      <c r="J19" s="787" t="s">
        <v>250</v>
      </c>
      <c r="K19" s="788"/>
      <c r="L19" s="336"/>
      <c r="M19" s="336"/>
      <c r="N19" s="338" t="str">
        <f>IF(L19=0, "NA", (M19-L19)/M19)</f>
        <v>NA</v>
      </c>
      <c r="O19" s="336"/>
      <c r="P19" s="339" t="str">
        <f>IF(M19=0,"NA",(O19-M19)/M19)</f>
        <v>NA</v>
      </c>
      <c r="Q19" s="309"/>
      <c r="R19" s="787" t="s">
        <v>250</v>
      </c>
      <c r="S19" s="788"/>
      <c r="T19" s="336"/>
      <c r="U19" s="336"/>
      <c r="V19" s="338" t="str">
        <f>IF(T19=0, "NA", (U19-T19)/T19)</f>
        <v>NA</v>
      </c>
      <c r="W19" s="336"/>
      <c r="X19" s="339" t="str">
        <f>IF(U19=0,"NA",(W19-U19)/U19)</f>
        <v>NA</v>
      </c>
      <c r="Y19" s="309"/>
      <c r="Z19" s="787" t="s">
        <v>250</v>
      </c>
      <c r="AA19" s="788"/>
      <c r="AB19" s="336"/>
      <c r="AC19" s="336"/>
      <c r="AD19" s="338" t="str">
        <f>IF(AB19=0, "NA", (AC19-AB19)/AB19)</f>
        <v>NA</v>
      </c>
      <c r="AE19" s="336"/>
      <c r="AF19" s="339" t="str">
        <f>IF(AC19=0,"NA",(AE19-AC19)/AC19)</f>
        <v>NA</v>
      </c>
      <c r="AG19" s="309"/>
    </row>
    <row r="20" spans="2:33" s="78" customFormat="1" ht="17.100000000000001" customHeight="1" x14ac:dyDescent="0.2">
      <c r="B20" s="787"/>
      <c r="C20" s="788"/>
      <c r="D20" s="340"/>
      <c r="E20" s="341"/>
      <c r="F20" s="338"/>
      <c r="G20" s="341"/>
      <c r="H20" s="339"/>
      <c r="I20" s="309"/>
      <c r="J20" s="787"/>
      <c r="K20" s="788"/>
      <c r="L20" s="340"/>
      <c r="M20" s="341"/>
      <c r="N20" s="338"/>
      <c r="O20" s="341"/>
      <c r="P20" s="339"/>
      <c r="Q20" s="309"/>
      <c r="R20" s="787"/>
      <c r="S20" s="788"/>
      <c r="T20" s="340"/>
      <c r="U20" s="341"/>
      <c r="V20" s="338"/>
      <c r="W20" s="341"/>
      <c r="X20" s="339"/>
      <c r="Y20" s="309"/>
      <c r="Z20" s="787"/>
      <c r="AA20" s="788"/>
      <c r="AB20" s="340"/>
      <c r="AC20" s="341"/>
      <c r="AD20" s="338"/>
      <c r="AE20" s="341"/>
      <c r="AF20" s="339"/>
      <c r="AG20" s="309"/>
    </row>
    <row r="21" spans="2:33" s="78" customFormat="1" ht="17.100000000000001" customHeight="1" x14ac:dyDescent="0.2">
      <c r="B21" s="781" t="s">
        <v>251</v>
      </c>
      <c r="C21" s="782"/>
      <c r="D21" s="346">
        <f>+D17-D19</f>
        <v>0</v>
      </c>
      <c r="E21" s="346">
        <f>+E17-E19</f>
        <v>0</v>
      </c>
      <c r="F21" s="334" t="str">
        <f>IF(D21=0,"NA",(E21-D21)/D21)</f>
        <v>NA</v>
      </c>
      <c r="G21" s="346">
        <f>+G17-G19</f>
        <v>0</v>
      </c>
      <c r="H21" s="347" t="str">
        <f>IF(E21=0,"NA",(G21-E21)/E21)</f>
        <v>NA</v>
      </c>
      <c r="I21" s="309"/>
      <c r="J21" s="781" t="s">
        <v>251</v>
      </c>
      <c r="K21" s="782"/>
      <c r="L21" s="346">
        <f>+L17-L19</f>
        <v>0</v>
      </c>
      <c r="M21" s="346">
        <f>+M17-M19</f>
        <v>0</v>
      </c>
      <c r="N21" s="334" t="str">
        <f>IF(L21=0, "NA", (M21-L21)/M21)</f>
        <v>NA</v>
      </c>
      <c r="O21" s="346">
        <f>+O17-O19</f>
        <v>0</v>
      </c>
      <c r="P21" s="347" t="str">
        <f>IF(M21=0,"NA",(O21-M21)/M21)</f>
        <v>NA</v>
      </c>
      <c r="Q21" s="309"/>
      <c r="R21" s="781" t="s">
        <v>251</v>
      </c>
      <c r="S21" s="782"/>
      <c r="T21" s="346">
        <f>+T17-T19</f>
        <v>0</v>
      </c>
      <c r="U21" s="346">
        <f>+U17-U19</f>
        <v>0</v>
      </c>
      <c r="V21" s="334" t="str">
        <f>IF(T21=0, "NA", (U21-T21)/T21)</f>
        <v>NA</v>
      </c>
      <c r="W21" s="346">
        <f>+W17-W19</f>
        <v>0</v>
      </c>
      <c r="X21" s="347" t="str">
        <f>IF(U21=0,"NA",(W21-U21)/U21)</f>
        <v>NA</v>
      </c>
      <c r="Y21" s="309"/>
      <c r="Z21" s="781" t="s">
        <v>251</v>
      </c>
      <c r="AA21" s="782"/>
      <c r="AB21" s="346">
        <f>+AB17-AB19</f>
        <v>0</v>
      </c>
      <c r="AC21" s="346">
        <f>+AC17-AC19</f>
        <v>0</v>
      </c>
      <c r="AD21" s="334" t="str">
        <f>IF(AB21=0, "NA", (AC21-AB21)/AB21)</f>
        <v>NA</v>
      </c>
      <c r="AE21" s="346">
        <f>+AE17-AE19</f>
        <v>0</v>
      </c>
      <c r="AF21" s="347" t="str">
        <f>IF(AC21=0,"NA",(AE21-AC21)/AC21)</f>
        <v>NA</v>
      </c>
      <c r="AG21" s="309"/>
    </row>
    <row r="22" spans="2:33" s="78" customFormat="1" ht="17.100000000000001" customHeight="1" x14ac:dyDescent="0.2">
      <c r="B22" s="787"/>
      <c r="C22" s="788"/>
      <c r="D22" s="340"/>
      <c r="E22" s="341"/>
      <c r="F22" s="338"/>
      <c r="G22" s="341"/>
      <c r="H22" s="339"/>
      <c r="I22" s="309"/>
      <c r="J22" s="787"/>
      <c r="K22" s="788"/>
      <c r="L22" s="340"/>
      <c r="M22" s="341"/>
      <c r="N22" s="338"/>
      <c r="O22" s="341"/>
      <c r="P22" s="339"/>
      <c r="Q22" s="309"/>
      <c r="R22" s="787"/>
      <c r="S22" s="788"/>
      <c r="T22" s="340"/>
      <c r="U22" s="341"/>
      <c r="V22" s="338"/>
      <c r="W22" s="341"/>
      <c r="X22" s="339"/>
      <c r="Y22" s="309"/>
      <c r="Z22" s="787"/>
      <c r="AA22" s="788"/>
      <c r="AB22" s="340"/>
      <c r="AC22" s="341"/>
      <c r="AD22" s="338"/>
      <c r="AE22" s="341"/>
      <c r="AF22" s="339"/>
      <c r="AG22" s="309"/>
    </row>
    <row r="23" spans="2:33" s="78" customFormat="1" ht="17.100000000000001" customHeight="1" x14ac:dyDescent="0.2">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2:33" s="78" customFormat="1" ht="17.100000000000001" customHeight="1" x14ac:dyDescent="0.2">
      <c r="B24" s="787" t="s">
        <v>24</v>
      </c>
      <c r="C24" s="788"/>
      <c r="D24" s="336"/>
      <c r="E24" s="336"/>
      <c r="F24" s="338" t="str">
        <f t="shared" ref="F24:F29" si="0">IF(D24=0,"NA",(E24-D24)/D24)</f>
        <v>NA</v>
      </c>
      <c r="G24" s="336"/>
      <c r="H24" s="339" t="str">
        <f t="shared" ref="H24:H29" si="1">IF(E24=0,"NA",(G24-E24)/E24)</f>
        <v>NA</v>
      </c>
      <c r="I24" s="309"/>
      <c r="J24" s="787" t="s">
        <v>24</v>
      </c>
      <c r="K24" s="788"/>
      <c r="L24" s="336"/>
      <c r="M24" s="336"/>
      <c r="N24" s="338" t="str">
        <f t="shared" ref="N24:N29" si="2">IF(L24=0, "NA", (M24-L24)/M24)</f>
        <v>NA</v>
      </c>
      <c r="O24" s="336"/>
      <c r="P24" s="339" t="str">
        <f t="shared" ref="P24:P29" si="3">IF(M24=0,"NA",(O24-M24)/M24)</f>
        <v>NA</v>
      </c>
      <c r="Q24" s="309"/>
      <c r="R24" s="787" t="s">
        <v>24</v>
      </c>
      <c r="S24" s="788"/>
      <c r="T24" s="336"/>
      <c r="U24" s="336"/>
      <c r="V24" s="338" t="str">
        <f t="shared" ref="V24:V29" si="4">IF(T24=0, "NA", (U24-T24)/T24)</f>
        <v>NA</v>
      </c>
      <c r="W24" s="336"/>
      <c r="X24" s="339" t="str">
        <f t="shared" ref="X24:X29" si="5">IF(U24=0,"NA",(W24-U24)/U24)</f>
        <v>NA</v>
      </c>
      <c r="Y24" s="309"/>
      <c r="Z24" s="787" t="s">
        <v>24</v>
      </c>
      <c r="AA24" s="788"/>
      <c r="AB24" s="336"/>
      <c r="AC24" s="336"/>
      <c r="AD24" s="338" t="str">
        <f t="shared" ref="AD24:AD29" si="6">IF(AB24=0, "NA", (AC24-AB24)/AB24)</f>
        <v>NA</v>
      </c>
      <c r="AE24" s="336"/>
      <c r="AF24" s="339" t="str">
        <f t="shared" ref="AF24:AF29" si="7">IF(AC24=0,"NA",(AE24-AC24)/AC24)</f>
        <v>NA</v>
      </c>
      <c r="AG24" s="309"/>
    </row>
    <row r="25" spans="2:33" s="78" customFormat="1" ht="17.100000000000001" customHeight="1" x14ac:dyDescent="0.2">
      <c r="B25" s="787" t="s">
        <v>0</v>
      </c>
      <c r="C25" s="788"/>
      <c r="D25" s="336"/>
      <c r="E25" s="336"/>
      <c r="F25" s="338" t="str">
        <f t="shared" si="0"/>
        <v>NA</v>
      </c>
      <c r="G25" s="336"/>
      <c r="H25" s="339" t="str">
        <f t="shared" si="1"/>
        <v>NA</v>
      </c>
      <c r="I25" s="309"/>
      <c r="J25" s="787" t="s">
        <v>0</v>
      </c>
      <c r="K25" s="788"/>
      <c r="L25" s="336"/>
      <c r="M25" s="336"/>
      <c r="N25" s="338" t="str">
        <f t="shared" si="2"/>
        <v>NA</v>
      </c>
      <c r="O25" s="336"/>
      <c r="P25" s="339" t="str">
        <f t="shared" si="3"/>
        <v>NA</v>
      </c>
      <c r="Q25" s="309"/>
      <c r="R25" s="787" t="s">
        <v>0</v>
      </c>
      <c r="S25" s="788"/>
      <c r="T25" s="336"/>
      <c r="U25" s="336"/>
      <c r="V25" s="338" t="str">
        <f t="shared" si="4"/>
        <v>NA</v>
      </c>
      <c r="W25" s="336"/>
      <c r="X25" s="339" t="str">
        <f t="shared" si="5"/>
        <v>NA</v>
      </c>
      <c r="Y25" s="309"/>
      <c r="Z25" s="787" t="s">
        <v>0</v>
      </c>
      <c r="AA25" s="788"/>
      <c r="AB25" s="336"/>
      <c r="AC25" s="336"/>
      <c r="AD25" s="338" t="str">
        <f t="shared" si="6"/>
        <v>NA</v>
      </c>
      <c r="AE25" s="336"/>
      <c r="AF25" s="339" t="str">
        <f t="shared" si="7"/>
        <v>NA</v>
      </c>
      <c r="AG25" s="309"/>
    </row>
    <row r="26" spans="2:33" s="78" customFormat="1" ht="17.100000000000001" customHeight="1" x14ac:dyDescent="0.2">
      <c r="B26" s="787" t="s">
        <v>253</v>
      </c>
      <c r="C26" s="788"/>
      <c r="D26" s="336"/>
      <c r="E26" s="336"/>
      <c r="F26" s="338" t="str">
        <f t="shared" si="0"/>
        <v>NA</v>
      </c>
      <c r="G26" s="336"/>
      <c r="H26" s="339" t="str">
        <f t="shared" si="1"/>
        <v>NA</v>
      </c>
      <c r="I26" s="309"/>
      <c r="J26" s="787" t="s">
        <v>253</v>
      </c>
      <c r="K26" s="788"/>
      <c r="L26" s="336"/>
      <c r="M26" s="336"/>
      <c r="N26" s="338" t="str">
        <f t="shared" si="2"/>
        <v>NA</v>
      </c>
      <c r="O26" s="336"/>
      <c r="P26" s="339" t="str">
        <f t="shared" si="3"/>
        <v>NA</v>
      </c>
      <c r="Q26" s="309"/>
      <c r="R26" s="787" t="s">
        <v>253</v>
      </c>
      <c r="S26" s="788"/>
      <c r="T26" s="336"/>
      <c r="U26" s="336"/>
      <c r="V26" s="338" t="str">
        <f t="shared" si="4"/>
        <v>NA</v>
      </c>
      <c r="W26" s="336"/>
      <c r="X26" s="339" t="str">
        <f t="shared" si="5"/>
        <v>NA</v>
      </c>
      <c r="Y26" s="309"/>
      <c r="Z26" s="787" t="s">
        <v>253</v>
      </c>
      <c r="AA26" s="788"/>
      <c r="AB26" s="336"/>
      <c r="AC26" s="336"/>
      <c r="AD26" s="338" t="str">
        <f t="shared" si="6"/>
        <v>NA</v>
      </c>
      <c r="AE26" s="336"/>
      <c r="AF26" s="339" t="str">
        <f t="shared" si="7"/>
        <v>NA</v>
      </c>
      <c r="AG26" s="309"/>
    </row>
    <row r="27" spans="2:33" s="78" customFormat="1" ht="17.100000000000001" customHeight="1" x14ac:dyDescent="0.2">
      <c r="B27" s="787" t="s">
        <v>254</v>
      </c>
      <c r="C27" s="788"/>
      <c r="D27" s="336"/>
      <c r="E27" s="336"/>
      <c r="F27" s="338" t="str">
        <f t="shared" si="0"/>
        <v>NA</v>
      </c>
      <c r="G27" s="336"/>
      <c r="H27" s="339" t="str">
        <f t="shared" si="1"/>
        <v>NA</v>
      </c>
      <c r="I27" s="309"/>
      <c r="J27" s="787" t="s">
        <v>254</v>
      </c>
      <c r="K27" s="788"/>
      <c r="L27" s="336"/>
      <c r="M27" s="336"/>
      <c r="N27" s="338" t="str">
        <f t="shared" si="2"/>
        <v>NA</v>
      </c>
      <c r="O27" s="336"/>
      <c r="P27" s="339" t="str">
        <f t="shared" si="3"/>
        <v>NA</v>
      </c>
      <c r="Q27" s="309"/>
      <c r="R27" s="787" t="s">
        <v>254</v>
      </c>
      <c r="S27" s="788"/>
      <c r="T27" s="336"/>
      <c r="U27" s="336"/>
      <c r="V27" s="338" t="str">
        <f t="shared" si="4"/>
        <v>NA</v>
      </c>
      <c r="W27" s="336"/>
      <c r="X27" s="339" t="str">
        <f t="shared" si="5"/>
        <v>NA</v>
      </c>
      <c r="Y27" s="309"/>
      <c r="Z27" s="787" t="s">
        <v>254</v>
      </c>
      <c r="AA27" s="788"/>
      <c r="AB27" s="336"/>
      <c r="AC27" s="336"/>
      <c r="AD27" s="338" t="str">
        <f t="shared" si="6"/>
        <v>NA</v>
      </c>
      <c r="AE27" s="336"/>
      <c r="AF27" s="339" t="str">
        <f t="shared" si="7"/>
        <v>NA</v>
      </c>
      <c r="AG27" s="309"/>
    </row>
    <row r="28" spans="2:33" s="78" customFormat="1" ht="17.100000000000001" customHeight="1" x14ac:dyDescent="0.2">
      <c r="B28" s="787" t="s">
        <v>255</v>
      </c>
      <c r="C28" s="788"/>
      <c r="D28" s="336"/>
      <c r="E28" s="336"/>
      <c r="F28" s="338" t="str">
        <f t="shared" si="0"/>
        <v>NA</v>
      </c>
      <c r="G28" s="336"/>
      <c r="H28" s="339" t="str">
        <f t="shared" si="1"/>
        <v>NA</v>
      </c>
      <c r="I28" s="309"/>
      <c r="J28" s="787" t="s">
        <v>255</v>
      </c>
      <c r="K28" s="788"/>
      <c r="L28" s="336"/>
      <c r="M28" s="336"/>
      <c r="N28" s="338" t="str">
        <f t="shared" si="2"/>
        <v>NA</v>
      </c>
      <c r="O28" s="336"/>
      <c r="P28" s="339" t="str">
        <f t="shared" si="3"/>
        <v>NA</v>
      </c>
      <c r="Q28" s="309"/>
      <c r="R28" s="787" t="s">
        <v>255</v>
      </c>
      <c r="S28" s="788"/>
      <c r="T28" s="336"/>
      <c r="U28" s="336"/>
      <c r="V28" s="338" t="str">
        <f t="shared" si="4"/>
        <v>NA</v>
      </c>
      <c r="W28" s="336"/>
      <c r="X28" s="339" t="str">
        <f t="shared" si="5"/>
        <v>NA</v>
      </c>
      <c r="Y28" s="309"/>
      <c r="Z28" s="787" t="s">
        <v>255</v>
      </c>
      <c r="AA28" s="788"/>
      <c r="AB28" s="336"/>
      <c r="AC28" s="336"/>
      <c r="AD28" s="338" t="str">
        <f t="shared" si="6"/>
        <v>NA</v>
      </c>
      <c r="AE28" s="336"/>
      <c r="AF28" s="339" t="str">
        <f t="shared" si="7"/>
        <v>NA</v>
      </c>
      <c r="AG28" s="309"/>
    </row>
    <row r="29" spans="2:33" s="78" customFormat="1" ht="17.100000000000001" customHeight="1" x14ac:dyDescent="0.2">
      <c r="B29" s="787" t="s">
        <v>248</v>
      </c>
      <c r="C29" s="788"/>
      <c r="D29" s="336"/>
      <c r="E29" s="336"/>
      <c r="F29" s="338" t="str">
        <f t="shared" si="0"/>
        <v>NA</v>
      </c>
      <c r="G29" s="336"/>
      <c r="H29" s="339" t="str">
        <f t="shared" si="1"/>
        <v>NA</v>
      </c>
      <c r="I29" s="309"/>
      <c r="J29" s="787" t="s">
        <v>248</v>
      </c>
      <c r="K29" s="788"/>
      <c r="L29" s="336"/>
      <c r="M29" s="336"/>
      <c r="N29" s="338" t="str">
        <f t="shared" si="2"/>
        <v>NA</v>
      </c>
      <c r="O29" s="336"/>
      <c r="P29" s="339" t="str">
        <f t="shared" si="3"/>
        <v>NA</v>
      </c>
      <c r="Q29" s="309"/>
      <c r="R29" s="787" t="s">
        <v>248</v>
      </c>
      <c r="S29" s="788"/>
      <c r="T29" s="336"/>
      <c r="U29" s="336"/>
      <c r="V29" s="338" t="str">
        <f t="shared" si="4"/>
        <v>NA</v>
      </c>
      <c r="W29" s="336"/>
      <c r="X29" s="339" t="str">
        <f t="shared" si="5"/>
        <v>NA</v>
      </c>
      <c r="Y29" s="309"/>
      <c r="Z29" s="787" t="s">
        <v>248</v>
      </c>
      <c r="AA29" s="788"/>
      <c r="AB29" s="336"/>
      <c r="AC29" s="336"/>
      <c r="AD29" s="338" t="str">
        <f t="shared" si="6"/>
        <v>NA</v>
      </c>
      <c r="AE29" s="336"/>
      <c r="AF29" s="339" t="str">
        <f t="shared" si="7"/>
        <v>NA</v>
      </c>
      <c r="AG29" s="309"/>
    </row>
    <row r="30" spans="2:33" s="78" customFormat="1" ht="17.100000000000001" customHeight="1" x14ac:dyDescent="0.2">
      <c r="B30" s="787"/>
      <c r="C30" s="788"/>
      <c r="D30" s="340"/>
      <c r="E30" s="341"/>
      <c r="F30" s="338"/>
      <c r="G30" s="341"/>
      <c r="H30" s="339"/>
      <c r="I30" s="309"/>
      <c r="J30" s="787"/>
      <c r="K30" s="788"/>
      <c r="L30" s="340"/>
      <c r="M30" s="341"/>
      <c r="N30" s="338"/>
      <c r="O30" s="341"/>
      <c r="P30" s="339"/>
      <c r="Q30" s="309"/>
      <c r="R30" s="787"/>
      <c r="S30" s="788"/>
      <c r="T30" s="340"/>
      <c r="U30" s="341"/>
      <c r="V30" s="338"/>
      <c r="W30" s="341"/>
      <c r="X30" s="339"/>
      <c r="Y30" s="309"/>
      <c r="Z30" s="787"/>
      <c r="AA30" s="788"/>
      <c r="AB30" s="340"/>
      <c r="AC30" s="341"/>
      <c r="AD30" s="338"/>
      <c r="AE30" s="341"/>
      <c r="AF30" s="339"/>
      <c r="AG30" s="309"/>
    </row>
    <row r="31" spans="2:33" s="78" customFormat="1" ht="17.100000000000001" customHeight="1" x14ac:dyDescent="0.2">
      <c r="B31" s="781" t="s">
        <v>256</v>
      </c>
      <c r="C31" s="782"/>
      <c r="D31" s="346">
        <f>+D21+D24+D25+D26+D27+D28+D29</f>
        <v>0</v>
      </c>
      <c r="E31" s="346">
        <f>+E21+E24+E25+E26+E27+E28+E29</f>
        <v>0</v>
      </c>
      <c r="F31" s="334" t="str">
        <f>IF(D31=0,"NA",(E31-D31)/D31)</f>
        <v>NA</v>
      </c>
      <c r="G31" s="346">
        <f>+G21+G24+G25+G26+G27+G28+G29</f>
        <v>0</v>
      </c>
      <c r="H31" s="347" t="str">
        <f>IF(E31=0,"NA",(G31-E31)/E31)</f>
        <v>NA</v>
      </c>
      <c r="I31" s="309"/>
      <c r="J31" s="781" t="s">
        <v>256</v>
      </c>
      <c r="K31" s="782"/>
      <c r="L31" s="346">
        <f>+L21+L24+L25+L26+L27+L28+L29</f>
        <v>0</v>
      </c>
      <c r="M31" s="346">
        <f>+M21+M24+M25+M26+M27+M28+M29</f>
        <v>0</v>
      </c>
      <c r="N31" s="334" t="str">
        <f>IF(L31=0, "NA", (M31-L31)/M31)</f>
        <v>NA</v>
      </c>
      <c r="O31" s="346">
        <f>+O21+O24+O25+O26+O27+O28+O29</f>
        <v>0</v>
      </c>
      <c r="P31" s="347" t="str">
        <f>IF(M31=0,"NA",(O31-M31)/M31)</f>
        <v>NA</v>
      </c>
      <c r="Q31" s="309"/>
      <c r="R31" s="781" t="s">
        <v>256</v>
      </c>
      <c r="S31" s="782"/>
      <c r="T31" s="346">
        <f>+T21+T24+T25+T26+T27+T28+T29</f>
        <v>0</v>
      </c>
      <c r="U31" s="346">
        <f>+U21+U24+U25+U26+U27+U28+U29</f>
        <v>0</v>
      </c>
      <c r="V31" s="334" t="str">
        <f>IF(T31=0, "NA", (U31-T31)/T31)</f>
        <v>NA</v>
      </c>
      <c r="W31" s="346">
        <f>+W21+W24+W25+W26+W27+W28+W29</f>
        <v>0</v>
      </c>
      <c r="X31" s="347" t="str">
        <f>IF(U31=0,"NA",(W31-U31)/U31)</f>
        <v>NA</v>
      </c>
      <c r="Y31" s="309"/>
      <c r="Z31" s="781" t="s">
        <v>256</v>
      </c>
      <c r="AA31" s="782"/>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2:33" s="78" customFormat="1" ht="17.100000000000001" customHeight="1" x14ac:dyDescent="0.2">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2:33" s="78" customFormat="1" ht="17.100000000000001" customHeight="1" x14ac:dyDescent="0.2">
      <c r="B33" s="787" t="s">
        <v>257</v>
      </c>
      <c r="C33" s="788"/>
      <c r="D33" s="340"/>
      <c r="E33" s="341"/>
      <c r="F33" s="338"/>
      <c r="G33" s="341"/>
      <c r="H33" s="339"/>
      <c r="I33" s="309"/>
      <c r="J33" s="787" t="s">
        <v>257</v>
      </c>
      <c r="K33" s="788"/>
      <c r="L33" s="340"/>
      <c r="M33" s="341"/>
      <c r="N33" s="338"/>
      <c r="O33" s="341"/>
      <c r="P33" s="339"/>
      <c r="Q33" s="309"/>
      <c r="R33" s="787" t="s">
        <v>257</v>
      </c>
      <c r="S33" s="788"/>
      <c r="T33" s="340"/>
      <c r="U33" s="341"/>
      <c r="V33" s="338"/>
      <c r="W33" s="341"/>
      <c r="X33" s="339"/>
      <c r="Y33" s="309"/>
      <c r="Z33" s="787" t="s">
        <v>257</v>
      </c>
      <c r="AA33" s="788"/>
      <c r="AB33" s="340"/>
      <c r="AC33" s="341"/>
      <c r="AD33" s="338"/>
      <c r="AE33" s="341"/>
      <c r="AF33" s="339"/>
      <c r="AG33" s="309"/>
    </row>
    <row r="34" spans="2:33" s="78" customFormat="1" ht="17.100000000000001" customHeight="1" x14ac:dyDescent="0.2">
      <c r="B34" s="787" t="s">
        <v>258</v>
      </c>
      <c r="C34" s="788"/>
      <c r="D34" s="336"/>
      <c r="E34" s="336"/>
      <c r="F34" s="338" t="str">
        <f t="shared" ref="F34:F41" si="8">IF(D34=0,"NA",(E34-D34)/D34)</f>
        <v>NA</v>
      </c>
      <c r="G34" s="336"/>
      <c r="H34" s="339" t="str">
        <f t="shared" ref="H34:H40" si="9">IF(E34=0,"NA",(G34-E34)/E34)</f>
        <v>NA</v>
      </c>
      <c r="I34" s="309"/>
      <c r="J34" s="787" t="s">
        <v>258</v>
      </c>
      <c r="K34" s="788"/>
      <c r="L34" s="336"/>
      <c r="M34" s="336"/>
      <c r="N34" s="338" t="str">
        <f t="shared" ref="N34:N41" si="10">IF(L34=0, "NA", (M34-L34)/M34)</f>
        <v>NA</v>
      </c>
      <c r="O34" s="336"/>
      <c r="P34" s="339" t="str">
        <f t="shared" ref="P34:P40" si="11">IF(M34=0,"NA",(O34-M34)/M34)</f>
        <v>NA</v>
      </c>
      <c r="Q34" s="309"/>
      <c r="R34" s="787" t="s">
        <v>258</v>
      </c>
      <c r="S34" s="788"/>
      <c r="T34" s="336"/>
      <c r="U34" s="336"/>
      <c r="V34" s="338" t="str">
        <f t="shared" ref="V34:V41" si="12">IF(T34=0, "NA", (U34-T34)/T34)</f>
        <v>NA</v>
      </c>
      <c r="W34" s="336"/>
      <c r="X34" s="339" t="str">
        <f t="shared" ref="X34:X40" si="13">IF(U34=0,"NA",(W34-U34)/U34)</f>
        <v>NA</v>
      </c>
      <c r="Y34" s="309"/>
      <c r="Z34" s="787" t="s">
        <v>258</v>
      </c>
      <c r="AA34" s="788"/>
      <c r="AB34" s="336"/>
      <c r="AC34" s="336"/>
      <c r="AD34" s="338" t="str">
        <f t="shared" ref="AD34:AD41" si="14">IF(AB34=0, "NA", (AC34-AB34)/AB34)</f>
        <v>NA</v>
      </c>
      <c r="AE34" s="336"/>
      <c r="AF34" s="339" t="str">
        <f t="shared" ref="AF34:AF40" si="15">IF(AC34=0,"NA",(AE34-AC34)/AC34)</f>
        <v>NA</v>
      </c>
      <c r="AG34" s="309"/>
    </row>
    <row r="35" spans="2:33" s="78" customFormat="1" ht="17.100000000000001" customHeight="1" x14ac:dyDescent="0.2">
      <c r="B35" s="787" t="s">
        <v>259</v>
      </c>
      <c r="C35" s="788"/>
      <c r="D35" s="336"/>
      <c r="E35" s="336"/>
      <c r="F35" s="338" t="str">
        <f t="shared" si="8"/>
        <v>NA</v>
      </c>
      <c r="G35" s="336"/>
      <c r="H35" s="339" t="str">
        <f t="shared" si="9"/>
        <v>NA</v>
      </c>
      <c r="I35" s="309"/>
      <c r="J35" s="787" t="s">
        <v>259</v>
      </c>
      <c r="K35" s="788"/>
      <c r="L35" s="336"/>
      <c r="M35" s="336"/>
      <c r="N35" s="338" t="str">
        <f t="shared" si="10"/>
        <v>NA</v>
      </c>
      <c r="O35" s="336"/>
      <c r="P35" s="339" t="str">
        <f t="shared" si="11"/>
        <v>NA</v>
      </c>
      <c r="Q35" s="309"/>
      <c r="R35" s="787" t="s">
        <v>259</v>
      </c>
      <c r="S35" s="788"/>
      <c r="T35" s="336"/>
      <c r="U35" s="336"/>
      <c r="V35" s="338" t="str">
        <f t="shared" si="12"/>
        <v>NA</v>
      </c>
      <c r="W35" s="336"/>
      <c r="X35" s="339" t="str">
        <f t="shared" si="13"/>
        <v>NA</v>
      </c>
      <c r="Y35" s="309"/>
      <c r="Z35" s="787" t="s">
        <v>259</v>
      </c>
      <c r="AA35" s="788"/>
      <c r="AB35" s="336"/>
      <c r="AC35" s="336"/>
      <c r="AD35" s="338" t="str">
        <f t="shared" si="14"/>
        <v>NA</v>
      </c>
      <c r="AE35" s="336"/>
      <c r="AF35" s="339" t="str">
        <f t="shared" si="15"/>
        <v>NA</v>
      </c>
      <c r="AG35" s="309"/>
    </row>
    <row r="36" spans="2:33" s="78" customFormat="1" ht="17.100000000000001" customHeight="1" x14ac:dyDescent="0.2">
      <c r="B36" s="787" t="s">
        <v>24</v>
      </c>
      <c r="C36" s="788"/>
      <c r="D36" s="336"/>
      <c r="E36" s="336"/>
      <c r="F36" s="338" t="str">
        <f t="shared" si="8"/>
        <v>NA</v>
      </c>
      <c r="G36" s="336"/>
      <c r="H36" s="339" t="str">
        <f t="shared" si="9"/>
        <v>NA</v>
      </c>
      <c r="I36" s="309"/>
      <c r="J36" s="787" t="s">
        <v>24</v>
      </c>
      <c r="K36" s="788"/>
      <c r="L36" s="336"/>
      <c r="M36" s="336"/>
      <c r="N36" s="338" t="str">
        <f t="shared" si="10"/>
        <v>NA</v>
      </c>
      <c r="O36" s="336"/>
      <c r="P36" s="339" t="str">
        <f t="shared" si="11"/>
        <v>NA</v>
      </c>
      <c r="Q36" s="309"/>
      <c r="R36" s="787" t="s">
        <v>24</v>
      </c>
      <c r="S36" s="788"/>
      <c r="T36" s="336"/>
      <c r="U36" s="336"/>
      <c r="V36" s="338" t="str">
        <f t="shared" si="12"/>
        <v>NA</v>
      </c>
      <c r="W36" s="336"/>
      <c r="X36" s="339" t="str">
        <f t="shared" si="13"/>
        <v>NA</v>
      </c>
      <c r="Y36" s="309"/>
      <c r="Z36" s="787" t="s">
        <v>24</v>
      </c>
      <c r="AA36" s="788"/>
      <c r="AB36" s="336"/>
      <c r="AC36" s="336"/>
      <c r="AD36" s="338" t="str">
        <f t="shared" si="14"/>
        <v>NA</v>
      </c>
      <c r="AE36" s="336"/>
      <c r="AF36" s="339" t="str">
        <f t="shared" si="15"/>
        <v>NA</v>
      </c>
      <c r="AG36" s="309"/>
    </row>
    <row r="37" spans="2:33" s="78" customFormat="1" ht="17.100000000000001" customHeight="1" x14ac:dyDescent="0.2">
      <c r="B37" s="787" t="s">
        <v>260</v>
      </c>
      <c r="C37" s="788"/>
      <c r="D37" s="336"/>
      <c r="E37" s="336"/>
      <c r="F37" s="338" t="str">
        <f t="shared" si="8"/>
        <v>NA</v>
      </c>
      <c r="G37" s="336"/>
      <c r="H37" s="339" t="str">
        <f t="shared" si="9"/>
        <v>NA</v>
      </c>
      <c r="I37" s="309"/>
      <c r="J37" s="787" t="s">
        <v>260</v>
      </c>
      <c r="K37" s="788"/>
      <c r="L37" s="336"/>
      <c r="M37" s="336"/>
      <c r="N37" s="338" t="str">
        <f t="shared" si="10"/>
        <v>NA</v>
      </c>
      <c r="O37" s="336"/>
      <c r="P37" s="339" t="str">
        <f t="shared" si="11"/>
        <v>NA</v>
      </c>
      <c r="Q37" s="309"/>
      <c r="R37" s="787" t="s">
        <v>260</v>
      </c>
      <c r="S37" s="788"/>
      <c r="T37" s="336"/>
      <c r="U37" s="336"/>
      <c r="V37" s="338" t="str">
        <f t="shared" si="12"/>
        <v>NA</v>
      </c>
      <c r="W37" s="336"/>
      <c r="X37" s="339" t="str">
        <f t="shared" si="13"/>
        <v>NA</v>
      </c>
      <c r="Y37" s="309"/>
      <c r="Z37" s="787" t="s">
        <v>260</v>
      </c>
      <c r="AA37" s="788"/>
      <c r="AB37" s="336"/>
      <c r="AC37" s="336"/>
      <c r="AD37" s="338" t="str">
        <f t="shared" si="14"/>
        <v>NA</v>
      </c>
      <c r="AE37" s="336"/>
      <c r="AF37" s="339" t="str">
        <f t="shared" si="15"/>
        <v>NA</v>
      </c>
      <c r="AG37" s="309"/>
    </row>
    <row r="38" spans="2:33" s="78" customFormat="1" ht="17.100000000000001" customHeight="1" x14ac:dyDescent="0.2">
      <c r="B38" s="787" t="s">
        <v>261</v>
      </c>
      <c r="C38" s="788"/>
      <c r="D38" s="336"/>
      <c r="E38" s="336"/>
      <c r="F38" s="338" t="str">
        <f t="shared" si="8"/>
        <v>NA</v>
      </c>
      <c r="G38" s="336"/>
      <c r="H38" s="339" t="str">
        <f t="shared" si="9"/>
        <v>NA</v>
      </c>
      <c r="I38" s="309"/>
      <c r="J38" s="787" t="s">
        <v>261</v>
      </c>
      <c r="K38" s="788"/>
      <c r="L38" s="336"/>
      <c r="M38" s="336"/>
      <c r="N38" s="338" t="str">
        <f t="shared" si="10"/>
        <v>NA</v>
      </c>
      <c r="O38" s="336"/>
      <c r="P38" s="339" t="str">
        <f t="shared" si="11"/>
        <v>NA</v>
      </c>
      <c r="Q38" s="309"/>
      <c r="R38" s="787" t="s">
        <v>261</v>
      </c>
      <c r="S38" s="788"/>
      <c r="T38" s="336"/>
      <c r="U38" s="336"/>
      <c r="V38" s="338" t="str">
        <f t="shared" si="12"/>
        <v>NA</v>
      </c>
      <c r="W38" s="336"/>
      <c r="X38" s="339" t="str">
        <f t="shared" si="13"/>
        <v>NA</v>
      </c>
      <c r="Y38" s="309"/>
      <c r="Z38" s="787" t="s">
        <v>261</v>
      </c>
      <c r="AA38" s="788"/>
      <c r="AB38" s="336"/>
      <c r="AC38" s="336"/>
      <c r="AD38" s="338" t="str">
        <f t="shared" si="14"/>
        <v>NA</v>
      </c>
      <c r="AE38" s="336"/>
      <c r="AF38" s="339" t="str">
        <f t="shared" si="15"/>
        <v>NA</v>
      </c>
      <c r="AG38" s="309"/>
    </row>
    <row r="39" spans="2:33" s="78" customFormat="1" ht="17.100000000000001" customHeight="1" x14ac:dyDescent="0.2">
      <c r="B39" s="787" t="s">
        <v>262</v>
      </c>
      <c r="C39" s="788"/>
      <c r="D39" s="336"/>
      <c r="E39" s="336"/>
      <c r="F39" s="338" t="str">
        <f t="shared" si="8"/>
        <v>NA</v>
      </c>
      <c r="G39" s="336"/>
      <c r="H39" s="339" t="str">
        <f t="shared" si="9"/>
        <v>NA</v>
      </c>
      <c r="I39" s="309"/>
      <c r="J39" s="787" t="s">
        <v>262</v>
      </c>
      <c r="K39" s="788"/>
      <c r="L39" s="336"/>
      <c r="M39" s="336"/>
      <c r="N39" s="338" t="str">
        <f t="shared" si="10"/>
        <v>NA</v>
      </c>
      <c r="O39" s="336"/>
      <c r="P39" s="339" t="str">
        <f t="shared" si="11"/>
        <v>NA</v>
      </c>
      <c r="Q39" s="309"/>
      <c r="R39" s="787" t="s">
        <v>262</v>
      </c>
      <c r="S39" s="788"/>
      <c r="T39" s="336"/>
      <c r="U39" s="336"/>
      <c r="V39" s="338" t="str">
        <f t="shared" si="12"/>
        <v>NA</v>
      </c>
      <c r="W39" s="336"/>
      <c r="X39" s="339" t="str">
        <f t="shared" si="13"/>
        <v>NA</v>
      </c>
      <c r="Y39" s="309"/>
      <c r="Z39" s="787" t="s">
        <v>262</v>
      </c>
      <c r="AA39" s="788"/>
      <c r="AB39" s="336"/>
      <c r="AC39" s="336"/>
      <c r="AD39" s="338" t="str">
        <f t="shared" si="14"/>
        <v>NA</v>
      </c>
      <c r="AE39" s="336"/>
      <c r="AF39" s="339" t="str">
        <f t="shared" si="15"/>
        <v>NA</v>
      </c>
      <c r="AG39" s="309"/>
    </row>
    <row r="40" spans="2:33" s="78" customFormat="1" ht="17.100000000000001" customHeight="1" x14ac:dyDescent="0.2">
      <c r="B40" s="787" t="s">
        <v>263</v>
      </c>
      <c r="C40" s="788"/>
      <c r="D40" s="336"/>
      <c r="E40" s="336"/>
      <c r="F40" s="338" t="str">
        <f t="shared" si="8"/>
        <v>NA</v>
      </c>
      <c r="G40" s="336"/>
      <c r="H40" s="339" t="str">
        <f t="shared" si="9"/>
        <v>NA</v>
      </c>
      <c r="I40" s="309"/>
      <c r="J40" s="787" t="s">
        <v>263</v>
      </c>
      <c r="K40" s="788"/>
      <c r="L40" s="336"/>
      <c r="M40" s="336"/>
      <c r="N40" s="338" t="str">
        <f t="shared" si="10"/>
        <v>NA</v>
      </c>
      <c r="O40" s="336"/>
      <c r="P40" s="339" t="str">
        <f t="shared" si="11"/>
        <v>NA</v>
      </c>
      <c r="Q40" s="309"/>
      <c r="R40" s="787" t="s">
        <v>263</v>
      </c>
      <c r="S40" s="788"/>
      <c r="T40" s="336"/>
      <c r="U40" s="336"/>
      <c r="V40" s="338" t="str">
        <f t="shared" si="12"/>
        <v>NA</v>
      </c>
      <c r="W40" s="336"/>
      <c r="X40" s="339" t="str">
        <f t="shared" si="13"/>
        <v>NA</v>
      </c>
      <c r="Y40" s="309"/>
      <c r="Z40" s="787" t="s">
        <v>263</v>
      </c>
      <c r="AA40" s="788"/>
      <c r="AB40" s="336"/>
      <c r="AC40" s="336"/>
      <c r="AD40" s="338" t="str">
        <f t="shared" si="14"/>
        <v>NA</v>
      </c>
      <c r="AE40" s="336"/>
      <c r="AF40" s="339" t="str">
        <f t="shared" si="15"/>
        <v>NA</v>
      </c>
      <c r="AG40" s="309"/>
    </row>
    <row r="41" spans="2:33" s="78" customFormat="1" ht="27.75" customHeight="1" x14ac:dyDescent="0.2">
      <c r="B41" s="781" t="s">
        <v>264</v>
      </c>
      <c r="C41" s="782"/>
      <c r="D41" s="346">
        <f>SUM(D31:D40)</f>
        <v>0</v>
      </c>
      <c r="E41" s="346">
        <f>SUM(E31:E40)</f>
        <v>0</v>
      </c>
      <c r="F41" s="334" t="str">
        <f t="shared" si="8"/>
        <v>NA</v>
      </c>
      <c r="G41" s="346">
        <f>SUM(G31:G40)</f>
        <v>0</v>
      </c>
      <c r="H41" s="352" t="str">
        <f>IF(E41=0,"NA",(G41-E41)/E41)</f>
        <v>NA</v>
      </c>
      <c r="I41" s="309"/>
      <c r="J41" s="781" t="s">
        <v>264</v>
      </c>
      <c r="K41" s="782"/>
      <c r="L41" s="346">
        <f>SUM(L31:L40)</f>
        <v>0</v>
      </c>
      <c r="M41" s="346">
        <f>SUM(M31:M40)</f>
        <v>0</v>
      </c>
      <c r="N41" s="334" t="str">
        <f t="shared" si="10"/>
        <v>NA</v>
      </c>
      <c r="O41" s="346">
        <f>SUM(O31:O40)</f>
        <v>0</v>
      </c>
      <c r="P41" s="352" t="str">
        <f>IF(M41=0,"NA",(O41-M41)/M41)</f>
        <v>NA</v>
      </c>
      <c r="Q41" s="309"/>
      <c r="R41" s="781" t="s">
        <v>264</v>
      </c>
      <c r="S41" s="782"/>
      <c r="T41" s="346">
        <f>SUM(T31:T40)</f>
        <v>0</v>
      </c>
      <c r="U41" s="346">
        <f>SUM(U31:U40)</f>
        <v>0</v>
      </c>
      <c r="V41" s="334" t="str">
        <f t="shared" si="12"/>
        <v>NA</v>
      </c>
      <c r="W41" s="346">
        <f>SUM(W31:W40)</f>
        <v>0</v>
      </c>
      <c r="X41" s="352" t="str">
        <f>IF(U41=0,"NA",(W41-U41)/U41)</f>
        <v>NA</v>
      </c>
      <c r="Y41" s="309"/>
      <c r="Z41" s="781" t="s">
        <v>264</v>
      </c>
      <c r="AA41" s="782"/>
      <c r="AB41" s="346">
        <f>SUM(AB31:AB40)</f>
        <v>0</v>
      </c>
      <c r="AC41" s="346">
        <f>SUM(AC31:AC40)</f>
        <v>0</v>
      </c>
      <c r="AD41" s="334" t="str">
        <f t="shared" si="14"/>
        <v>NA</v>
      </c>
      <c r="AE41" s="346">
        <f>SUM(AE31:AE40)</f>
        <v>0</v>
      </c>
      <c r="AF41" s="352" t="str">
        <f>IF(AC41=0,"NA",(AE41-AC41)/AC41)</f>
        <v>NA</v>
      </c>
      <c r="AG41" s="309"/>
    </row>
    <row r="42" spans="2:33" s="78" customFormat="1" ht="17.100000000000001" customHeight="1" thickBot="1" x14ac:dyDescent="0.25">
      <c r="B42" s="789"/>
      <c r="C42" s="790"/>
      <c r="D42" s="353"/>
      <c r="E42" s="354"/>
      <c r="F42" s="355"/>
      <c r="G42" s="354"/>
      <c r="H42" s="356"/>
      <c r="I42" s="309"/>
      <c r="J42" s="789"/>
      <c r="K42" s="790"/>
      <c r="L42" s="353"/>
      <c r="M42" s="354"/>
      <c r="N42" s="355"/>
      <c r="O42" s="354"/>
      <c r="P42" s="356"/>
      <c r="Q42" s="309"/>
      <c r="R42" s="789"/>
      <c r="S42" s="790"/>
      <c r="T42" s="353"/>
      <c r="U42" s="354"/>
      <c r="V42" s="355"/>
      <c r="W42" s="354"/>
      <c r="X42" s="356"/>
      <c r="Y42" s="309"/>
      <c r="Z42" s="789"/>
      <c r="AA42" s="790"/>
      <c r="AB42" s="353"/>
      <c r="AC42" s="354"/>
      <c r="AD42" s="355"/>
      <c r="AE42" s="354"/>
      <c r="AF42" s="356"/>
      <c r="AG42" s="309"/>
    </row>
    <row r="43" spans="2:33" x14ac:dyDescent="0.2">
      <c r="B43" s="366"/>
      <c r="C43" s="367"/>
      <c r="D43" s="368"/>
      <c r="E43" s="368"/>
      <c r="F43" s="369"/>
      <c r="G43" s="368"/>
      <c r="H43" s="367"/>
      <c r="J43" s="366"/>
      <c r="K43" s="367"/>
      <c r="L43" s="368"/>
      <c r="M43" s="368"/>
      <c r="N43" s="369"/>
      <c r="O43" s="368"/>
      <c r="P43" s="370"/>
      <c r="V43" s="371"/>
    </row>
    <row r="44" spans="2:33" x14ac:dyDescent="0.2">
      <c r="F44" s="373"/>
      <c r="N44" s="373"/>
      <c r="P44" s="374"/>
      <c r="V44" s="371"/>
    </row>
    <row r="45" spans="2:33" x14ac:dyDescent="0.2">
      <c r="F45" s="373"/>
      <c r="N45" s="373"/>
      <c r="V45" s="371"/>
    </row>
    <row r="46" spans="2:33" x14ac:dyDescent="0.2">
      <c r="F46" s="373"/>
      <c r="N46" s="373"/>
      <c r="V46" s="371"/>
    </row>
    <row r="47" spans="2:33" x14ac:dyDescent="0.2">
      <c r="F47" s="373"/>
      <c r="N47" s="373"/>
      <c r="V47" s="371"/>
    </row>
    <row r="48" spans="2:33" x14ac:dyDescent="0.2">
      <c r="F48" s="373"/>
      <c r="N48" s="373"/>
      <c r="V48" s="371"/>
    </row>
    <row r="49" spans="6:22" x14ac:dyDescent="0.2">
      <c r="F49" s="373"/>
      <c r="N49" s="373"/>
      <c r="V49" s="371"/>
    </row>
    <row r="2898" spans="6:6" ht="15" customHeight="1" x14ac:dyDescent="0.2"/>
    <row r="2899" spans="6:6" ht="85.5" customHeight="1" x14ac:dyDescent="0.2">
      <c r="F2899" s="372"/>
    </row>
    <row r="2900" spans="6:6" ht="85.5" customHeight="1" x14ac:dyDescent="0.2">
      <c r="F2900" s="372"/>
    </row>
    <row r="2901" spans="6:6" ht="85.5" customHeight="1" x14ac:dyDescent="0.2">
      <c r="F2901" s="372"/>
    </row>
    <row r="2902" spans="6:6" ht="85.5" customHeight="1" x14ac:dyDescent="0.2">
      <c r="F2902" s="372"/>
    </row>
    <row r="2903" spans="6:6" ht="85.5" customHeight="1" x14ac:dyDescent="0.2">
      <c r="F2903" s="372"/>
    </row>
    <row r="2904" spans="6:6" ht="85.5" customHeight="1" x14ac:dyDescent="0.2">
      <c r="F2904" s="372"/>
    </row>
    <row r="2905" spans="6:6" ht="85.5" customHeight="1" x14ac:dyDescent="0.2">
      <c r="F2905" s="372"/>
    </row>
    <row r="2906" spans="6:6" ht="85.5" customHeight="1" x14ac:dyDescent="0.2"/>
    <row r="2907" spans="6:6" ht="85.5" customHeight="1" x14ac:dyDescent="0.2"/>
  </sheetData>
  <sheetProtection algorithmName="SHA-512" hashValue="DHlLsqzGnsys8KlB5U6/xG9NPJaDfGSGeN10o6MRyBFCigaLQQiQrN/QmSYB0o6+/exB319jPDtGhfpWjAZIAw==" saltValue="+Re/HeUwgxr2gecNrkTvrQ==" spinCount="100000" sheet="1" objects="1" scenarios="1"/>
  <mergeCells count="144">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0:C10"/>
    <mergeCell ref="J10:K10"/>
    <mergeCell ref="R10:S10"/>
    <mergeCell ref="Z10:AA10"/>
    <mergeCell ref="B11:C11"/>
    <mergeCell ref="J11:K11"/>
    <mergeCell ref="R11:S11"/>
    <mergeCell ref="Z11:AA11"/>
    <mergeCell ref="X7:X8"/>
    <mergeCell ref="Z7:AA8"/>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s>
  <conditionalFormatting sqref="B7:H8 J7:P8 R7:X8 Z7:AF8">
    <cfRule type="expression" dxfId="71" priority="1">
      <formula>OR( Branding = "YBR")</formula>
    </cfRule>
    <cfRule type="expression" dxfId="70" priority="2">
      <formula>OR( Branding = "Paramount")</formula>
    </cfRule>
    <cfRule type="expression" dxfId="69" priority="3">
      <formula>OR( Branding = "Thrive")</formula>
    </cfRule>
    <cfRule type="expression" dxfId="68" priority="4">
      <formula>OR( Branding = "WINWIN")</formula>
    </cfRule>
    <cfRule type="expression" dxfId="67" priority="5">
      <formula>OR( Branding = "RM")</formula>
    </cfRule>
    <cfRule type="expression" dxfId="66" priority="6">
      <formula>OR( Branding = "Go Beyond")</formula>
    </cfRule>
    <cfRule type="expression" dxfId="65" priority="7">
      <formula>OR( Branding = "AFG Align")</formula>
    </cfRule>
    <cfRule type="expression" dxfId="64" priority="8">
      <formula>OR( Branding = "AFG")</formula>
    </cfRule>
    <cfRule type="expression" dxfId="63" priority="9">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020DF-257C-42A3-ADC8-7ED2BD57271C}">
  <sheetPr codeName="Sheet6">
    <tabColor theme="1"/>
    <pageSetUpPr fitToPage="1"/>
  </sheetPr>
  <dimension ref="A1:AG2907"/>
  <sheetViews>
    <sheetView showGridLines="0" zoomScaleNormal="100" workbookViewId="0">
      <selection activeCell="U20" sqref="U20"/>
    </sheetView>
  </sheetViews>
  <sheetFormatPr defaultColWidth="9.140625" defaultRowHeight="12.75" x14ac:dyDescent="0.2"/>
  <cols>
    <col min="1" max="1" width="4.5703125" style="1" customWidth="1"/>
    <col min="2" max="2" width="23.42578125" style="1" customWidth="1"/>
    <col min="3" max="3" width="6.140625" style="372" customWidth="1"/>
    <col min="4" max="4" width="18.5703125" style="372" customWidth="1"/>
    <col min="5" max="5" width="14.7109375" style="372" customWidth="1"/>
    <col min="6" max="6" width="8.7109375" style="375" customWidth="1"/>
    <col min="7" max="7" width="14.7109375" style="372" customWidth="1"/>
    <col min="8" max="8" width="8.7109375" style="372" customWidth="1"/>
    <col min="9" max="9" width="1.28515625" style="1" customWidth="1"/>
    <col min="10" max="10" width="9.140625" style="1"/>
    <col min="11" max="11" width="19.28515625" style="372" customWidth="1"/>
    <col min="12" max="13" width="14.7109375" style="372" customWidth="1"/>
    <col min="14" max="14" width="8.7109375" style="375" customWidth="1"/>
    <col min="15" max="15" width="14.7109375" style="372" customWidth="1"/>
    <col min="16" max="16" width="8.7109375" style="372" customWidth="1"/>
    <col min="17" max="17" width="1.7109375" style="1" customWidth="1"/>
    <col min="18" max="18" width="9.140625" style="1"/>
    <col min="19" max="19" width="19.28515625" style="1" customWidth="1"/>
    <col min="20" max="21" width="14.7109375" style="1" customWidth="1"/>
    <col min="22" max="22" width="8.7109375" style="376" customWidth="1"/>
    <col min="23" max="23" width="14.7109375" style="1" customWidth="1"/>
    <col min="24" max="24" width="8.7109375" style="1" customWidth="1"/>
    <col min="25" max="25" width="1.7109375" style="1" customWidth="1"/>
    <col min="26" max="26" width="9.140625" style="1"/>
    <col min="27" max="27" width="19.28515625" style="1" customWidth="1"/>
    <col min="28" max="29" width="14.7109375" style="1" customWidth="1"/>
    <col min="30" max="30" width="8.7109375" style="1" customWidth="1"/>
    <col min="31" max="31" width="14.7109375" style="1" customWidth="1"/>
    <col min="32" max="32" width="8.7109375" style="1" customWidth="1"/>
    <col min="33" max="16384" width="9.140625" style="1"/>
  </cols>
  <sheetData>
    <row r="1" spans="1:33" ht="22.5" customHeight="1" x14ac:dyDescent="0.2">
      <c r="A1" s="377"/>
      <c r="B1" s="324"/>
      <c r="C1" s="301" t="s">
        <v>235</v>
      </c>
      <c r="D1" s="302"/>
      <c r="E1" s="302"/>
      <c r="F1" s="302"/>
      <c r="G1" s="303"/>
      <c r="H1" s="306"/>
      <c r="I1" s="324"/>
      <c r="J1" s="324"/>
      <c r="K1" s="306"/>
      <c r="L1" s="306"/>
      <c r="M1" s="306"/>
      <c r="N1" s="307"/>
      <c r="O1" s="306"/>
      <c r="P1" s="306"/>
      <c r="Q1" s="324"/>
      <c r="R1" s="324"/>
      <c r="S1" s="324"/>
      <c r="T1" s="324"/>
      <c r="U1" s="324"/>
      <c r="V1" s="364"/>
      <c r="W1" s="324"/>
      <c r="X1" s="324"/>
    </row>
    <row r="2" spans="1:33" ht="20.25" customHeight="1" x14ac:dyDescent="0.2">
      <c r="A2" s="377"/>
      <c r="B2" s="324"/>
      <c r="C2" s="306"/>
      <c r="D2" s="306"/>
      <c r="E2" s="306"/>
      <c r="F2" s="307"/>
      <c r="G2" s="306"/>
      <c r="H2" s="306"/>
      <c r="I2" s="324"/>
      <c r="J2" s="324"/>
      <c r="K2" s="306"/>
      <c r="L2" s="306"/>
      <c r="M2" s="306"/>
      <c r="N2" s="307"/>
      <c r="O2" s="306"/>
      <c r="P2" s="306"/>
      <c r="Q2" s="324"/>
      <c r="R2" s="324"/>
      <c r="S2" s="324"/>
      <c r="T2" s="324"/>
      <c r="U2" s="324"/>
      <c r="V2" s="364"/>
      <c r="W2" s="324"/>
      <c r="X2" s="324"/>
    </row>
    <row r="3" spans="1:33" ht="22.5" customHeight="1" x14ac:dyDescent="0.2">
      <c r="A3" s="377"/>
      <c r="B3" s="365" t="s">
        <v>236</v>
      </c>
      <c r="C3" s="769" t="str">
        <f>Loans!B12</f>
        <v/>
      </c>
      <c r="D3" s="770"/>
      <c r="E3" s="770"/>
      <c r="F3" s="770"/>
      <c r="G3" s="770"/>
      <c r="H3" s="771"/>
      <c r="I3" s="309"/>
      <c r="J3" s="321"/>
      <c r="K3" s="322"/>
      <c r="L3" s="322"/>
      <c r="M3" s="322"/>
      <c r="N3" s="323"/>
      <c r="O3" s="322"/>
      <c r="P3" s="322"/>
      <c r="Q3" s="324"/>
      <c r="R3" s="324"/>
      <c r="S3" s="324"/>
      <c r="T3" s="324"/>
      <c r="U3" s="324"/>
      <c r="V3" s="364"/>
      <c r="W3" s="324"/>
      <c r="X3" s="324"/>
    </row>
    <row r="4" spans="1:33" ht="9.75" customHeight="1" x14ac:dyDescent="0.2">
      <c r="A4" s="377"/>
      <c r="B4" s="320"/>
      <c r="C4" s="315"/>
      <c r="D4" s="315"/>
      <c r="E4" s="315"/>
      <c r="F4" s="315"/>
      <c r="G4" s="315"/>
      <c r="H4" s="315"/>
      <c r="I4" s="309"/>
      <c r="J4" s="321"/>
      <c r="K4" s="322"/>
      <c r="L4" s="322"/>
      <c r="M4" s="322"/>
      <c r="N4" s="323"/>
      <c r="O4" s="322"/>
      <c r="P4" s="322"/>
      <c r="Q4" s="324"/>
      <c r="R4" s="324"/>
      <c r="S4" s="324"/>
      <c r="T4" s="324"/>
      <c r="U4" s="324"/>
      <c r="V4" s="364"/>
      <c r="W4" s="324"/>
      <c r="X4" s="324"/>
    </row>
    <row r="5" spans="1:33" s="366" customFormat="1" ht="16.5" customHeight="1" x14ac:dyDescent="0.2">
      <c r="A5" s="378"/>
      <c r="B5" s="776" t="s">
        <v>237</v>
      </c>
      <c r="C5" s="773"/>
      <c r="D5" s="316" t="str">
        <f>Applicants!M25</f>
        <v/>
      </c>
      <c r="E5" s="774" t="str">
        <f>Applicants!M26</f>
        <v/>
      </c>
      <c r="F5" s="774"/>
      <c r="G5" s="774"/>
      <c r="H5" s="775"/>
      <c r="I5" s="317"/>
      <c r="J5" s="776" t="s">
        <v>237</v>
      </c>
      <c r="K5" s="773"/>
      <c r="L5" s="316" t="str">
        <f>Applicants!N25</f>
        <v/>
      </c>
      <c r="M5" s="774" t="str">
        <f>Applicants!N26</f>
        <v/>
      </c>
      <c r="N5" s="774"/>
      <c r="O5" s="774"/>
      <c r="P5" s="775"/>
      <c r="Q5" s="318"/>
      <c r="R5" s="776" t="s">
        <v>237</v>
      </c>
      <c r="S5" s="773"/>
      <c r="T5" s="316" t="str">
        <f>Applicants!O25</f>
        <v/>
      </c>
      <c r="U5" s="774" t="str">
        <f>Applicants!O26</f>
        <v/>
      </c>
      <c r="V5" s="774"/>
      <c r="W5" s="774"/>
      <c r="X5" s="775"/>
      <c r="Z5" s="776" t="s">
        <v>237</v>
      </c>
      <c r="AA5" s="773"/>
      <c r="AB5" s="316" t="str">
        <f>Applicants!P25</f>
        <v/>
      </c>
      <c r="AC5" s="774" t="str">
        <f>Applicants!P26</f>
        <v/>
      </c>
      <c r="AD5" s="774"/>
      <c r="AE5" s="774"/>
      <c r="AF5" s="775"/>
    </row>
    <row r="6" spans="1:33" ht="7.5" customHeight="1" thickBot="1" x14ac:dyDescent="0.25">
      <c r="A6" s="377"/>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1:33" s="78" customFormat="1" ht="17.100000000000001" customHeight="1" x14ac:dyDescent="0.25">
      <c r="A7" s="324"/>
      <c r="B7" s="326" t="s">
        <v>238</v>
      </c>
      <c r="C7" s="327"/>
      <c r="D7" s="328" t="s">
        <v>239</v>
      </c>
      <c r="E7" s="328" t="s">
        <v>239</v>
      </c>
      <c r="F7" s="791" t="s">
        <v>240</v>
      </c>
      <c r="G7" s="328" t="s">
        <v>239</v>
      </c>
      <c r="H7" s="779" t="s">
        <v>240</v>
      </c>
      <c r="I7" s="309"/>
      <c r="J7" s="783" t="s">
        <v>241</v>
      </c>
      <c r="K7" s="784"/>
      <c r="L7" s="328" t="s">
        <v>239</v>
      </c>
      <c r="M7" s="328" t="s">
        <v>239</v>
      </c>
      <c r="N7" s="777" t="s">
        <v>240</v>
      </c>
      <c r="O7" s="328" t="s">
        <v>239</v>
      </c>
      <c r="P7" s="779" t="s">
        <v>240</v>
      </c>
      <c r="Q7" s="324"/>
      <c r="R7" s="783" t="s">
        <v>242</v>
      </c>
      <c r="S7" s="784"/>
      <c r="T7" s="328" t="s">
        <v>239</v>
      </c>
      <c r="U7" s="328" t="s">
        <v>239</v>
      </c>
      <c r="V7" s="777" t="s">
        <v>240</v>
      </c>
      <c r="W7" s="328" t="s">
        <v>239</v>
      </c>
      <c r="X7" s="779" t="s">
        <v>240</v>
      </c>
      <c r="Z7" s="783" t="s">
        <v>243</v>
      </c>
      <c r="AA7" s="784"/>
      <c r="AB7" s="328" t="s">
        <v>239</v>
      </c>
      <c r="AC7" s="328" t="s">
        <v>239</v>
      </c>
      <c r="AD7" s="777" t="s">
        <v>240</v>
      </c>
      <c r="AE7" s="328" t="s">
        <v>239</v>
      </c>
      <c r="AF7" s="779" t="s">
        <v>240</v>
      </c>
    </row>
    <row r="8" spans="1:33" s="78" customFormat="1" ht="17.100000000000001" customHeight="1" thickBot="1" x14ac:dyDescent="0.3">
      <c r="A8" s="324"/>
      <c r="B8" s="329"/>
      <c r="C8" s="330"/>
      <c r="D8" s="331">
        <f>'Partnership Profit &amp; Loss'!D8</f>
        <v>45473</v>
      </c>
      <c r="E8" s="331">
        <f>'Partnership Profit &amp; Loss'!E8</f>
        <v>45838</v>
      </c>
      <c r="F8" s="792"/>
      <c r="G8" s="331">
        <f>'Partnership Profit &amp; Loss'!G8</f>
        <v>46203</v>
      </c>
      <c r="H8" s="780"/>
      <c r="I8" s="309"/>
      <c r="J8" s="785"/>
      <c r="K8" s="786"/>
      <c r="L8" s="331">
        <f>D8</f>
        <v>45473</v>
      </c>
      <c r="M8" s="331">
        <f>E8</f>
        <v>45838</v>
      </c>
      <c r="N8" s="778"/>
      <c r="O8" s="331">
        <f>G8</f>
        <v>46203</v>
      </c>
      <c r="P8" s="780"/>
      <c r="Q8" s="324"/>
      <c r="R8" s="785"/>
      <c r="S8" s="786"/>
      <c r="T8" s="331">
        <f>L8</f>
        <v>45473</v>
      </c>
      <c r="U8" s="331">
        <f>M8</f>
        <v>45838</v>
      </c>
      <c r="V8" s="778"/>
      <c r="W8" s="331">
        <f>O8</f>
        <v>46203</v>
      </c>
      <c r="X8" s="780"/>
      <c r="Z8" s="785"/>
      <c r="AA8" s="786"/>
      <c r="AB8" s="331">
        <f>T8</f>
        <v>45473</v>
      </c>
      <c r="AC8" s="331">
        <f>U8</f>
        <v>45838</v>
      </c>
      <c r="AD8" s="778"/>
      <c r="AE8" s="331">
        <f>W8</f>
        <v>46203</v>
      </c>
      <c r="AF8" s="780"/>
    </row>
    <row r="9" spans="1:33" s="78" customFormat="1" ht="17.100000000000001" customHeight="1" x14ac:dyDescent="0.2">
      <c r="A9" s="324"/>
      <c r="B9" s="781"/>
      <c r="C9" s="782"/>
      <c r="D9" s="332"/>
      <c r="E9" s="333"/>
      <c r="F9" s="334"/>
      <c r="G9" s="333"/>
      <c r="H9" s="335"/>
      <c r="I9" s="309"/>
      <c r="J9" s="781"/>
      <c r="K9" s="782"/>
      <c r="L9" s="332"/>
      <c r="M9" s="333"/>
      <c r="N9" s="334"/>
      <c r="O9" s="333"/>
      <c r="P9" s="335"/>
      <c r="Q9" s="309"/>
      <c r="R9" s="781"/>
      <c r="S9" s="782"/>
      <c r="T9" s="332"/>
      <c r="U9" s="333"/>
      <c r="V9" s="334"/>
      <c r="W9" s="333"/>
      <c r="X9" s="335"/>
      <c r="Y9" s="309"/>
      <c r="Z9" s="781"/>
      <c r="AA9" s="782"/>
      <c r="AB9" s="332"/>
      <c r="AC9" s="333"/>
      <c r="AD9" s="334"/>
      <c r="AE9" s="333"/>
      <c r="AF9" s="335"/>
      <c r="AG9" s="309"/>
    </row>
    <row r="10" spans="1:33" s="78" customFormat="1" ht="17.100000000000001" customHeight="1" x14ac:dyDescent="0.2">
      <c r="A10" s="324"/>
      <c r="B10" s="787" t="s">
        <v>244</v>
      </c>
      <c r="C10" s="788"/>
      <c r="D10" s="336"/>
      <c r="E10" s="337"/>
      <c r="F10" s="338" t="str">
        <f>IF(D10=0,"NA",(E10-D10)/D10)</f>
        <v>NA</v>
      </c>
      <c r="G10" s="336"/>
      <c r="H10" s="339" t="str">
        <f>IF(E10=0,"NA",(G10-E10)/E10)</f>
        <v>NA</v>
      </c>
      <c r="I10" s="309"/>
      <c r="J10" s="787" t="s">
        <v>244</v>
      </c>
      <c r="K10" s="788"/>
      <c r="L10" s="336"/>
      <c r="M10" s="337"/>
      <c r="N10" s="338" t="str">
        <f>IF(L10=0, "NA", (M10-L10)/M10)</f>
        <v>NA</v>
      </c>
      <c r="O10" s="336"/>
      <c r="P10" s="339" t="str">
        <f>IF(M10=0,"NA",(O10-M10)/M10)</f>
        <v>NA</v>
      </c>
      <c r="Q10" s="309"/>
      <c r="R10" s="787" t="s">
        <v>244</v>
      </c>
      <c r="S10" s="788"/>
      <c r="T10" s="336"/>
      <c r="U10" s="337"/>
      <c r="V10" s="338" t="str">
        <f>IF(T10=0, "NA", (U10-T10)/T10)</f>
        <v>NA</v>
      </c>
      <c r="W10" s="336"/>
      <c r="X10" s="339" t="str">
        <f>IF(U10=0,"NA",(W10-U10)/U10)</f>
        <v>NA</v>
      </c>
      <c r="Y10" s="309"/>
      <c r="Z10" s="787" t="s">
        <v>244</v>
      </c>
      <c r="AA10" s="788"/>
      <c r="AB10" s="336"/>
      <c r="AC10" s="337"/>
      <c r="AD10" s="338" t="str">
        <f>IF(AB10=0, "NA", (AC10-AB10)/AB10)</f>
        <v>NA</v>
      </c>
      <c r="AE10" s="336"/>
      <c r="AF10" s="339" t="str">
        <f>IF(AC10=0,"NA",(AE10-AC10)/AC10)</f>
        <v>NA</v>
      </c>
      <c r="AG10" s="309"/>
    </row>
    <row r="11" spans="1:33" s="78" customFormat="1" ht="17.100000000000001" customHeight="1" x14ac:dyDescent="0.2">
      <c r="A11" s="324"/>
      <c r="B11" s="787"/>
      <c r="C11" s="788"/>
      <c r="D11" s="340"/>
      <c r="E11" s="341"/>
      <c r="F11" s="338"/>
      <c r="G11" s="340"/>
      <c r="H11" s="339"/>
      <c r="I11" s="309"/>
      <c r="J11" s="787"/>
      <c r="K11" s="788"/>
      <c r="L11" s="340"/>
      <c r="M11" s="341"/>
      <c r="N11" s="338"/>
      <c r="O11" s="340"/>
      <c r="P11" s="339"/>
      <c r="Q11" s="309"/>
      <c r="R11" s="787"/>
      <c r="S11" s="788"/>
      <c r="T11" s="340"/>
      <c r="U11" s="341"/>
      <c r="V11" s="338"/>
      <c r="W11" s="340"/>
      <c r="X11" s="339"/>
      <c r="Y11" s="309"/>
      <c r="Z11" s="787"/>
      <c r="AA11" s="788"/>
      <c r="AB11" s="340"/>
      <c r="AC11" s="341"/>
      <c r="AD11" s="338"/>
      <c r="AE11" s="340"/>
      <c r="AF11" s="339"/>
      <c r="AG11" s="309"/>
    </row>
    <row r="12" spans="1:33" s="78" customFormat="1" ht="17.100000000000001" customHeight="1" x14ac:dyDescent="0.2">
      <c r="A12" s="324"/>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1:33" s="78" customFormat="1" ht="17.100000000000001" customHeight="1" x14ac:dyDescent="0.2">
      <c r="A13" s="324"/>
      <c r="B13" s="787" t="s">
        <v>246</v>
      </c>
      <c r="C13" s="788"/>
      <c r="D13" s="336"/>
      <c r="E13" s="337"/>
      <c r="F13" s="338" t="str">
        <f>IF(D13=0,"NA",(E13-D13)/D13)</f>
        <v>NA</v>
      </c>
      <c r="G13" s="336"/>
      <c r="H13" s="339" t="str">
        <f>IF(E13=0,"NA",(G13-E13)/E13)</f>
        <v>NA</v>
      </c>
      <c r="I13" s="309"/>
      <c r="J13" s="787" t="s">
        <v>246</v>
      </c>
      <c r="K13" s="788"/>
      <c r="L13" s="336"/>
      <c r="M13" s="337"/>
      <c r="N13" s="338" t="str">
        <f>IF(L13=0, "NA", (M13-L13)/M13)</f>
        <v>NA</v>
      </c>
      <c r="O13" s="336"/>
      <c r="P13" s="339" t="str">
        <f>IF(M13=0,"NA",(O13-M13)/M13)</f>
        <v>NA</v>
      </c>
      <c r="Q13" s="309"/>
      <c r="R13" s="787" t="s">
        <v>246</v>
      </c>
      <c r="S13" s="788"/>
      <c r="T13" s="336"/>
      <c r="U13" s="337"/>
      <c r="V13" s="338" t="str">
        <f>IF(T13=0, "NA", (U13-T13)/T13)</f>
        <v>NA</v>
      </c>
      <c r="W13" s="336"/>
      <c r="X13" s="339" t="str">
        <f>IF(U13=0,"NA",(W13-U13)/U13)</f>
        <v>NA</v>
      </c>
      <c r="Y13" s="309"/>
      <c r="Z13" s="787" t="s">
        <v>246</v>
      </c>
      <c r="AA13" s="788"/>
      <c r="AB13" s="336"/>
      <c r="AC13" s="337"/>
      <c r="AD13" s="338" t="str">
        <f>IF(AB13=0, "NA", (AC13-AB13)/AB13)</f>
        <v>NA</v>
      </c>
      <c r="AE13" s="336"/>
      <c r="AF13" s="339" t="str">
        <f>IF(AC13=0,"NA",(AE13-AC13)/AC13)</f>
        <v>NA</v>
      </c>
      <c r="AG13" s="309"/>
    </row>
    <row r="14" spans="1:33" s="78" customFormat="1" ht="17.100000000000001" customHeight="1" x14ac:dyDescent="0.2">
      <c r="A14" s="324"/>
      <c r="B14" s="787" t="s">
        <v>247</v>
      </c>
      <c r="C14" s="788"/>
      <c r="D14" s="336"/>
      <c r="E14" s="337"/>
      <c r="F14" s="338" t="str">
        <f>IF(D14=0,"NA",(E14-D14)/D14)</f>
        <v>NA</v>
      </c>
      <c r="G14" s="336"/>
      <c r="H14" s="339" t="str">
        <f>IF(E14=0,"NA",(G14-E14)/E14)</f>
        <v>NA</v>
      </c>
      <c r="I14" s="309"/>
      <c r="J14" s="787" t="s">
        <v>247</v>
      </c>
      <c r="K14" s="788"/>
      <c r="L14" s="336"/>
      <c r="M14" s="337"/>
      <c r="N14" s="338" t="str">
        <f>IF(L14=0, "NA", (M14-L14)/M14)</f>
        <v>NA</v>
      </c>
      <c r="O14" s="336"/>
      <c r="P14" s="339" t="str">
        <f>IF(M14=0,"NA",(O14-M14)/M14)</f>
        <v>NA</v>
      </c>
      <c r="Q14" s="309"/>
      <c r="R14" s="787" t="s">
        <v>247</v>
      </c>
      <c r="S14" s="788"/>
      <c r="T14" s="336"/>
      <c r="U14" s="337"/>
      <c r="V14" s="338" t="str">
        <f>IF(T14=0, "NA", (U14-T14)/T14)</f>
        <v>NA</v>
      </c>
      <c r="W14" s="336"/>
      <c r="X14" s="339" t="str">
        <f>IF(U14=0,"NA",(W14-U14)/U14)</f>
        <v>NA</v>
      </c>
      <c r="Y14" s="309"/>
      <c r="Z14" s="787" t="s">
        <v>247</v>
      </c>
      <c r="AA14" s="788"/>
      <c r="AB14" s="336"/>
      <c r="AC14" s="337"/>
      <c r="AD14" s="338" t="str">
        <f>IF(AB14=0, "NA", (AC14-AB14)/AB14)</f>
        <v>NA</v>
      </c>
      <c r="AE14" s="336"/>
      <c r="AF14" s="339" t="str">
        <f>IF(AC14=0,"NA",(AE14-AC14)/AC14)</f>
        <v>NA</v>
      </c>
      <c r="AG14" s="309"/>
    </row>
    <row r="15" spans="1:33" s="78" customFormat="1" ht="17.100000000000001" customHeight="1" x14ac:dyDescent="0.2">
      <c r="A15" s="324"/>
      <c r="B15" s="787" t="s">
        <v>248</v>
      </c>
      <c r="C15" s="788"/>
      <c r="D15" s="336"/>
      <c r="E15" s="337"/>
      <c r="F15" s="338" t="str">
        <f>IF(D15=0,"NA",(E15-D15)/D15)</f>
        <v>NA</v>
      </c>
      <c r="G15" s="336"/>
      <c r="H15" s="339" t="str">
        <f>IF(E15=0,"NA",(G15-E15)/E15)</f>
        <v>NA</v>
      </c>
      <c r="I15" s="309"/>
      <c r="J15" s="787" t="s">
        <v>248</v>
      </c>
      <c r="K15" s="788"/>
      <c r="L15" s="336"/>
      <c r="M15" s="337"/>
      <c r="N15" s="338" t="str">
        <f>IF(L15=0, "NA", (M15-L15)/M15)</f>
        <v>NA</v>
      </c>
      <c r="O15" s="336"/>
      <c r="P15" s="339" t="str">
        <f>IF(M15=0,"NA",(O15-M15)/M15)</f>
        <v>NA</v>
      </c>
      <c r="Q15" s="309"/>
      <c r="R15" s="787" t="s">
        <v>248</v>
      </c>
      <c r="S15" s="788"/>
      <c r="T15" s="336"/>
      <c r="U15" s="337"/>
      <c r="V15" s="338" t="str">
        <f>IF(T15=0, "NA", (U15-T15)/T15)</f>
        <v>NA</v>
      </c>
      <c r="W15" s="336"/>
      <c r="X15" s="339" t="str">
        <f>IF(U15=0,"NA",(W15-U15)/U15)</f>
        <v>NA</v>
      </c>
      <c r="Y15" s="309"/>
      <c r="Z15" s="787" t="s">
        <v>248</v>
      </c>
      <c r="AA15" s="788"/>
      <c r="AB15" s="336"/>
      <c r="AC15" s="337"/>
      <c r="AD15" s="338" t="str">
        <f>IF(AB15=0, "NA", (AC15-AB15)/AB15)</f>
        <v>NA</v>
      </c>
      <c r="AE15" s="336"/>
      <c r="AF15" s="339" t="str">
        <f>IF(AC15=0,"NA",(AE15-AC15)/AC15)</f>
        <v>NA</v>
      </c>
      <c r="AG15" s="309"/>
    </row>
    <row r="16" spans="1:33" s="78" customFormat="1" ht="17.100000000000001" customHeight="1" x14ac:dyDescent="0.2">
      <c r="A16" s="324"/>
      <c r="B16" s="787"/>
      <c r="C16" s="788"/>
      <c r="D16" s="340"/>
      <c r="E16" s="341"/>
      <c r="F16" s="338"/>
      <c r="G16" s="341"/>
      <c r="H16" s="339"/>
      <c r="I16" s="309"/>
      <c r="J16" s="787"/>
      <c r="K16" s="788"/>
      <c r="L16" s="340"/>
      <c r="M16" s="341"/>
      <c r="N16" s="338"/>
      <c r="O16" s="341"/>
      <c r="P16" s="339"/>
      <c r="Q16" s="309"/>
      <c r="R16" s="787"/>
      <c r="S16" s="788"/>
      <c r="T16" s="340"/>
      <c r="U16" s="341"/>
      <c r="V16" s="338"/>
      <c r="W16" s="341"/>
      <c r="X16" s="339"/>
      <c r="Y16" s="309"/>
      <c r="Z16" s="787"/>
      <c r="AA16" s="788"/>
      <c r="AB16" s="340"/>
      <c r="AC16" s="341"/>
      <c r="AD16" s="338"/>
      <c r="AE16" s="341"/>
      <c r="AF16" s="339"/>
      <c r="AG16" s="309"/>
    </row>
    <row r="17" spans="1:33" s="78" customFormat="1" ht="17.100000000000001" customHeight="1" x14ac:dyDescent="0.2">
      <c r="A17" s="324"/>
      <c r="B17" s="781" t="s">
        <v>249</v>
      </c>
      <c r="C17" s="782"/>
      <c r="D17" s="346">
        <f>+D10-D13-D14-D15</f>
        <v>0</v>
      </c>
      <c r="E17" s="346">
        <f>+E10-E13-E14-E15</f>
        <v>0</v>
      </c>
      <c r="F17" s="334" t="str">
        <f>IF(D17=0,"NA",(E17-D17)/D17)</f>
        <v>NA</v>
      </c>
      <c r="G17" s="346">
        <f>+G10-G13-G14-G15</f>
        <v>0</v>
      </c>
      <c r="H17" s="347" t="str">
        <f>IF(E17=0,"NA",(G17-E17)/E17)</f>
        <v>NA</v>
      </c>
      <c r="I17" s="309"/>
      <c r="J17" s="781" t="s">
        <v>249</v>
      </c>
      <c r="K17" s="782"/>
      <c r="L17" s="346">
        <f>+L10-L13-L14-L15</f>
        <v>0</v>
      </c>
      <c r="M17" s="346">
        <f>+M10-M13-M14-M15</f>
        <v>0</v>
      </c>
      <c r="N17" s="334" t="str">
        <f>IF(L17=0, "NA", (M17-L17)/M17)</f>
        <v>NA</v>
      </c>
      <c r="O17" s="346">
        <f>+O10-O13-O14-O15</f>
        <v>0</v>
      </c>
      <c r="P17" s="347" t="str">
        <f>IF(M17=0,"NA",(O17-M17)/M17)</f>
        <v>NA</v>
      </c>
      <c r="Q17" s="309"/>
      <c r="R17" s="781" t="s">
        <v>249</v>
      </c>
      <c r="S17" s="782"/>
      <c r="T17" s="346">
        <f>+T10-T13-T14-T15</f>
        <v>0</v>
      </c>
      <c r="U17" s="346">
        <f>+U10-U13-U14-U15</f>
        <v>0</v>
      </c>
      <c r="V17" s="334" t="str">
        <f>IF(T17=0, "NA", (U17-T17)/T17)</f>
        <v>NA</v>
      </c>
      <c r="W17" s="346">
        <f>+W10-W13-W14-W15</f>
        <v>0</v>
      </c>
      <c r="X17" s="347" t="str">
        <f>IF(U17=0,"NA",(W17-U17)/U17)</f>
        <v>NA</v>
      </c>
      <c r="Y17" s="309"/>
      <c r="Z17" s="781" t="s">
        <v>249</v>
      </c>
      <c r="AA17" s="782"/>
      <c r="AB17" s="346">
        <f>+AB10-AB13-AB14-AB15</f>
        <v>0</v>
      </c>
      <c r="AC17" s="346">
        <f>+AC10-AC13-AC14-AC15</f>
        <v>0</v>
      </c>
      <c r="AD17" s="334" t="str">
        <f>IF(AB17=0, "NA", (AC17-AB17)/AB17)</f>
        <v>NA</v>
      </c>
      <c r="AE17" s="346">
        <f>+AE10-AE13-AE14-AE15</f>
        <v>0</v>
      </c>
      <c r="AF17" s="347" t="str">
        <f>IF(AC17=0,"NA",(AE17-AC17)/AC17)</f>
        <v>NA</v>
      </c>
      <c r="AG17" s="309"/>
    </row>
    <row r="18" spans="1:33" s="78" customFormat="1" ht="17.100000000000001" customHeight="1" x14ac:dyDescent="0.2">
      <c r="A18" s="324"/>
      <c r="B18" s="787"/>
      <c r="C18" s="788"/>
      <c r="D18" s="340"/>
      <c r="E18" s="341"/>
      <c r="F18" s="338"/>
      <c r="G18" s="341"/>
      <c r="H18" s="339"/>
      <c r="I18" s="309"/>
      <c r="J18" s="787"/>
      <c r="K18" s="788"/>
      <c r="L18" s="340"/>
      <c r="M18" s="341"/>
      <c r="N18" s="338"/>
      <c r="O18" s="341"/>
      <c r="P18" s="339"/>
      <c r="Q18" s="309"/>
      <c r="R18" s="787"/>
      <c r="S18" s="788"/>
      <c r="T18" s="340"/>
      <c r="U18" s="341"/>
      <c r="V18" s="338"/>
      <c r="W18" s="341"/>
      <c r="X18" s="339"/>
      <c r="Y18" s="309"/>
      <c r="Z18" s="787"/>
      <c r="AA18" s="788"/>
      <c r="AB18" s="340"/>
      <c r="AC18" s="341"/>
      <c r="AD18" s="338"/>
      <c r="AE18" s="341"/>
      <c r="AF18" s="339"/>
      <c r="AG18" s="309"/>
    </row>
    <row r="19" spans="1:33" s="78" customFormat="1" ht="17.100000000000001" customHeight="1" x14ac:dyDescent="0.2">
      <c r="A19" s="324"/>
      <c r="B19" s="787" t="s">
        <v>250</v>
      </c>
      <c r="C19" s="788"/>
      <c r="D19" s="336"/>
      <c r="E19" s="336"/>
      <c r="F19" s="338" t="str">
        <f>IF(D19=0,"NA",(E19-D19)/D19)</f>
        <v>NA</v>
      </c>
      <c r="G19" s="336"/>
      <c r="H19" s="339" t="str">
        <f>IF(E19=0,"NA",(G19-E19)/E19)</f>
        <v>NA</v>
      </c>
      <c r="I19" s="309"/>
      <c r="J19" s="787" t="s">
        <v>250</v>
      </c>
      <c r="K19" s="788"/>
      <c r="L19" s="336"/>
      <c r="M19" s="336"/>
      <c r="N19" s="338" t="str">
        <f>IF(L19=0, "NA", (M19-L19)/M19)</f>
        <v>NA</v>
      </c>
      <c r="O19" s="336"/>
      <c r="P19" s="339" t="str">
        <f>IF(M19=0,"NA",(O19-M19)/M19)</f>
        <v>NA</v>
      </c>
      <c r="Q19" s="309"/>
      <c r="R19" s="787" t="s">
        <v>250</v>
      </c>
      <c r="S19" s="788"/>
      <c r="T19" s="336"/>
      <c r="U19" s="336"/>
      <c r="V19" s="338" t="str">
        <f>IF(T19=0, "NA", (U19-T19)/T19)</f>
        <v>NA</v>
      </c>
      <c r="W19" s="336"/>
      <c r="X19" s="339" t="str">
        <f>IF(U19=0,"NA",(W19-U19)/U19)</f>
        <v>NA</v>
      </c>
      <c r="Y19" s="309"/>
      <c r="Z19" s="787" t="s">
        <v>250</v>
      </c>
      <c r="AA19" s="788"/>
      <c r="AB19" s="336"/>
      <c r="AC19" s="336"/>
      <c r="AD19" s="338" t="str">
        <f>IF(AB19=0, "NA", (AC19-AB19)/AB19)</f>
        <v>NA</v>
      </c>
      <c r="AE19" s="336"/>
      <c r="AF19" s="339" t="str">
        <f>IF(AC19=0,"NA",(AE19-AC19)/AC19)</f>
        <v>NA</v>
      </c>
      <c r="AG19" s="309"/>
    </row>
    <row r="20" spans="1:33" s="78" customFormat="1" ht="17.100000000000001" customHeight="1" x14ac:dyDescent="0.2">
      <c r="A20" s="324"/>
      <c r="B20" s="787"/>
      <c r="C20" s="788"/>
      <c r="D20" s="340"/>
      <c r="E20" s="341"/>
      <c r="F20" s="338"/>
      <c r="G20" s="341"/>
      <c r="H20" s="339"/>
      <c r="I20" s="309"/>
      <c r="J20" s="787"/>
      <c r="K20" s="788"/>
      <c r="L20" s="340"/>
      <c r="M20" s="341"/>
      <c r="N20" s="338"/>
      <c r="O20" s="341"/>
      <c r="P20" s="339"/>
      <c r="Q20" s="309"/>
      <c r="R20" s="787"/>
      <c r="S20" s="788"/>
      <c r="T20" s="340"/>
      <c r="U20" s="341"/>
      <c r="V20" s="338"/>
      <c r="W20" s="341"/>
      <c r="X20" s="339"/>
      <c r="Y20" s="309"/>
      <c r="Z20" s="787"/>
      <c r="AA20" s="788"/>
      <c r="AB20" s="340"/>
      <c r="AC20" s="341"/>
      <c r="AD20" s="338"/>
      <c r="AE20" s="341"/>
      <c r="AF20" s="339"/>
      <c r="AG20" s="309"/>
    </row>
    <row r="21" spans="1:33" s="78" customFormat="1" ht="17.100000000000001" customHeight="1" x14ac:dyDescent="0.2">
      <c r="A21" s="324"/>
      <c r="B21" s="781" t="s">
        <v>251</v>
      </c>
      <c r="C21" s="782"/>
      <c r="D21" s="346">
        <f>+D17-D19</f>
        <v>0</v>
      </c>
      <c r="E21" s="346">
        <f>+E17-E19</f>
        <v>0</v>
      </c>
      <c r="F21" s="334" t="str">
        <f>IF(D21=0,"NA",(E21-D21)/D21)</f>
        <v>NA</v>
      </c>
      <c r="G21" s="346">
        <f>+G17-G19</f>
        <v>0</v>
      </c>
      <c r="H21" s="347" t="str">
        <f>IF(E21=0,"NA",(G21-E21)/E21)</f>
        <v>NA</v>
      </c>
      <c r="I21" s="309"/>
      <c r="J21" s="781" t="s">
        <v>251</v>
      </c>
      <c r="K21" s="782"/>
      <c r="L21" s="346">
        <f>+L17-L19</f>
        <v>0</v>
      </c>
      <c r="M21" s="346">
        <f>+M17-M19</f>
        <v>0</v>
      </c>
      <c r="N21" s="334" t="str">
        <f>IF(L21=0, "NA", (M21-L21)/M21)</f>
        <v>NA</v>
      </c>
      <c r="O21" s="346">
        <f>+O17-O19</f>
        <v>0</v>
      </c>
      <c r="P21" s="347" t="str">
        <f>IF(M21=0,"NA",(O21-M21)/M21)</f>
        <v>NA</v>
      </c>
      <c r="Q21" s="309"/>
      <c r="R21" s="781" t="s">
        <v>251</v>
      </c>
      <c r="S21" s="782"/>
      <c r="T21" s="346">
        <f>+T17-T19</f>
        <v>0</v>
      </c>
      <c r="U21" s="346">
        <f>+U17-U19</f>
        <v>0</v>
      </c>
      <c r="V21" s="334" t="str">
        <f>IF(T21=0, "NA", (U21-T21)/T21)</f>
        <v>NA</v>
      </c>
      <c r="W21" s="346">
        <f>+W17-W19</f>
        <v>0</v>
      </c>
      <c r="X21" s="347" t="str">
        <f>IF(U21=0,"NA",(W21-U21)/U21)</f>
        <v>NA</v>
      </c>
      <c r="Y21" s="309"/>
      <c r="Z21" s="781" t="s">
        <v>251</v>
      </c>
      <c r="AA21" s="782"/>
      <c r="AB21" s="346">
        <f>+AB17-AB19</f>
        <v>0</v>
      </c>
      <c r="AC21" s="346">
        <f>+AC17-AC19</f>
        <v>0</v>
      </c>
      <c r="AD21" s="334" t="str">
        <f>IF(AB21=0, "NA", (AC21-AB21)/AB21)</f>
        <v>NA</v>
      </c>
      <c r="AE21" s="346">
        <f>+AE17-AE19</f>
        <v>0</v>
      </c>
      <c r="AF21" s="347" t="str">
        <f>IF(AC21=0,"NA",(AE21-AC21)/AC21)</f>
        <v>NA</v>
      </c>
      <c r="AG21" s="309"/>
    </row>
    <row r="22" spans="1:33" s="78" customFormat="1" ht="17.100000000000001" customHeight="1" x14ac:dyDescent="0.2">
      <c r="A22" s="324"/>
      <c r="B22" s="787"/>
      <c r="C22" s="788"/>
      <c r="D22" s="340"/>
      <c r="E22" s="341"/>
      <c r="F22" s="338"/>
      <c r="G22" s="341"/>
      <c r="H22" s="339"/>
      <c r="I22" s="309"/>
      <c r="J22" s="787"/>
      <c r="K22" s="788"/>
      <c r="L22" s="340"/>
      <c r="M22" s="341"/>
      <c r="N22" s="338"/>
      <c r="O22" s="341"/>
      <c r="P22" s="339"/>
      <c r="Q22" s="309"/>
      <c r="R22" s="787"/>
      <c r="S22" s="788"/>
      <c r="T22" s="340"/>
      <c r="U22" s="341"/>
      <c r="V22" s="338"/>
      <c r="W22" s="341"/>
      <c r="X22" s="339"/>
      <c r="Y22" s="309"/>
      <c r="Z22" s="787"/>
      <c r="AA22" s="788"/>
      <c r="AB22" s="340"/>
      <c r="AC22" s="341"/>
      <c r="AD22" s="338"/>
      <c r="AE22" s="341"/>
      <c r="AF22" s="339"/>
      <c r="AG22" s="309"/>
    </row>
    <row r="23" spans="1:33" s="78" customFormat="1" ht="17.100000000000001" customHeight="1" x14ac:dyDescent="0.2">
      <c r="A23" s="324"/>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1:33" s="78" customFormat="1" ht="17.100000000000001" customHeight="1" x14ac:dyDescent="0.2">
      <c r="A24" s="324"/>
      <c r="B24" s="787" t="s">
        <v>24</v>
      </c>
      <c r="C24" s="788"/>
      <c r="D24" s="336"/>
      <c r="E24" s="336"/>
      <c r="F24" s="338" t="str">
        <f t="shared" ref="F24:F29" si="0">IF(D24=0,"NA",(E24-D24)/D24)</f>
        <v>NA</v>
      </c>
      <c r="G24" s="336"/>
      <c r="H24" s="339" t="str">
        <f t="shared" ref="H24:H29" si="1">IF(E24=0,"NA",(G24-E24)/E24)</f>
        <v>NA</v>
      </c>
      <c r="I24" s="309"/>
      <c r="J24" s="787" t="s">
        <v>24</v>
      </c>
      <c r="K24" s="788"/>
      <c r="L24" s="336"/>
      <c r="M24" s="336"/>
      <c r="N24" s="338" t="str">
        <f t="shared" ref="N24:N29" si="2">IF(L24=0, "NA", (M24-L24)/M24)</f>
        <v>NA</v>
      </c>
      <c r="O24" s="336"/>
      <c r="P24" s="339" t="str">
        <f t="shared" ref="P24:P29" si="3">IF(M24=0,"NA",(O24-M24)/M24)</f>
        <v>NA</v>
      </c>
      <c r="Q24" s="309"/>
      <c r="R24" s="787" t="s">
        <v>24</v>
      </c>
      <c r="S24" s="788"/>
      <c r="T24" s="336"/>
      <c r="U24" s="336"/>
      <c r="V24" s="338" t="str">
        <f t="shared" ref="V24:V29" si="4">IF(T24=0, "NA", (U24-T24)/T24)</f>
        <v>NA</v>
      </c>
      <c r="W24" s="336"/>
      <c r="X24" s="339" t="str">
        <f t="shared" ref="X24:X29" si="5">IF(U24=0,"NA",(W24-U24)/U24)</f>
        <v>NA</v>
      </c>
      <c r="Y24" s="309"/>
      <c r="Z24" s="787" t="s">
        <v>24</v>
      </c>
      <c r="AA24" s="788"/>
      <c r="AB24" s="336"/>
      <c r="AC24" s="336"/>
      <c r="AD24" s="338" t="str">
        <f t="shared" ref="AD24:AD29" si="6">IF(AB24=0, "NA", (AC24-AB24)/AB24)</f>
        <v>NA</v>
      </c>
      <c r="AE24" s="336"/>
      <c r="AF24" s="339" t="str">
        <f t="shared" ref="AF24:AF29" si="7">IF(AC24=0,"NA",(AE24-AC24)/AC24)</f>
        <v>NA</v>
      </c>
      <c r="AG24" s="309"/>
    </row>
    <row r="25" spans="1:33" s="78" customFormat="1" ht="17.100000000000001" customHeight="1" x14ac:dyDescent="0.2">
      <c r="A25" s="324"/>
      <c r="B25" s="787" t="s">
        <v>0</v>
      </c>
      <c r="C25" s="788"/>
      <c r="D25" s="336"/>
      <c r="E25" s="336"/>
      <c r="F25" s="338" t="str">
        <f t="shared" si="0"/>
        <v>NA</v>
      </c>
      <c r="G25" s="336"/>
      <c r="H25" s="339" t="str">
        <f t="shared" si="1"/>
        <v>NA</v>
      </c>
      <c r="I25" s="309"/>
      <c r="J25" s="787" t="s">
        <v>0</v>
      </c>
      <c r="K25" s="788"/>
      <c r="L25" s="336"/>
      <c r="M25" s="336"/>
      <c r="N25" s="338" t="str">
        <f t="shared" si="2"/>
        <v>NA</v>
      </c>
      <c r="O25" s="336"/>
      <c r="P25" s="339" t="str">
        <f t="shared" si="3"/>
        <v>NA</v>
      </c>
      <c r="Q25" s="309"/>
      <c r="R25" s="787" t="s">
        <v>0</v>
      </c>
      <c r="S25" s="788"/>
      <c r="T25" s="336"/>
      <c r="U25" s="336"/>
      <c r="V25" s="338" t="str">
        <f t="shared" si="4"/>
        <v>NA</v>
      </c>
      <c r="W25" s="336"/>
      <c r="X25" s="339" t="str">
        <f t="shared" si="5"/>
        <v>NA</v>
      </c>
      <c r="Y25" s="309"/>
      <c r="Z25" s="787" t="s">
        <v>0</v>
      </c>
      <c r="AA25" s="788"/>
      <c r="AB25" s="336"/>
      <c r="AC25" s="336"/>
      <c r="AD25" s="338" t="str">
        <f t="shared" si="6"/>
        <v>NA</v>
      </c>
      <c r="AE25" s="336"/>
      <c r="AF25" s="339" t="str">
        <f t="shared" si="7"/>
        <v>NA</v>
      </c>
      <c r="AG25" s="309"/>
    </row>
    <row r="26" spans="1:33" s="78" customFormat="1" ht="17.100000000000001" customHeight="1" x14ac:dyDescent="0.2">
      <c r="A26" s="324"/>
      <c r="B26" s="787" t="s">
        <v>253</v>
      </c>
      <c r="C26" s="788"/>
      <c r="D26" s="336"/>
      <c r="E26" s="336"/>
      <c r="F26" s="338" t="str">
        <f t="shared" si="0"/>
        <v>NA</v>
      </c>
      <c r="G26" s="336"/>
      <c r="H26" s="339" t="str">
        <f t="shared" si="1"/>
        <v>NA</v>
      </c>
      <c r="I26" s="309"/>
      <c r="J26" s="787" t="s">
        <v>253</v>
      </c>
      <c r="K26" s="788"/>
      <c r="L26" s="336"/>
      <c r="M26" s="336"/>
      <c r="N26" s="338" t="str">
        <f t="shared" si="2"/>
        <v>NA</v>
      </c>
      <c r="O26" s="336"/>
      <c r="P26" s="339" t="str">
        <f t="shared" si="3"/>
        <v>NA</v>
      </c>
      <c r="Q26" s="309"/>
      <c r="R26" s="787" t="s">
        <v>253</v>
      </c>
      <c r="S26" s="788"/>
      <c r="T26" s="336"/>
      <c r="U26" s="336"/>
      <c r="V26" s="338" t="str">
        <f t="shared" si="4"/>
        <v>NA</v>
      </c>
      <c r="W26" s="336"/>
      <c r="X26" s="339" t="str">
        <f t="shared" si="5"/>
        <v>NA</v>
      </c>
      <c r="Y26" s="309"/>
      <c r="Z26" s="787" t="s">
        <v>253</v>
      </c>
      <c r="AA26" s="788"/>
      <c r="AB26" s="336"/>
      <c r="AC26" s="336"/>
      <c r="AD26" s="338" t="str">
        <f t="shared" si="6"/>
        <v>NA</v>
      </c>
      <c r="AE26" s="336"/>
      <c r="AF26" s="339" t="str">
        <f t="shared" si="7"/>
        <v>NA</v>
      </c>
      <c r="AG26" s="309"/>
    </row>
    <row r="27" spans="1:33" s="78" customFormat="1" ht="17.100000000000001" customHeight="1" x14ac:dyDescent="0.2">
      <c r="A27" s="324"/>
      <c r="B27" s="787" t="s">
        <v>254</v>
      </c>
      <c r="C27" s="788"/>
      <c r="D27" s="336"/>
      <c r="E27" s="336"/>
      <c r="F27" s="338" t="str">
        <f t="shared" si="0"/>
        <v>NA</v>
      </c>
      <c r="G27" s="336"/>
      <c r="H27" s="339" t="str">
        <f t="shared" si="1"/>
        <v>NA</v>
      </c>
      <c r="I27" s="309"/>
      <c r="J27" s="787" t="s">
        <v>254</v>
      </c>
      <c r="K27" s="788"/>
      <c r="L27" s="336"/>
      <c r="M27" s="336"/>
      <c r="N27" s="338" t="str">
        <f t="shared" si="2"/>
        <v>NA</v>
      </c>
      <c r="O27" s="336"/>
      <c r="P27" s="339" t="str">
        <f t="shared" si="3"/>
        <v>NA</v>
      </c>
      <c r="Q27" s="309"/>
      <c r="R27" s="787" t="s">
        <v>254</v>
      </c>
      <c r="S27" s="788"/>
      <c r="T27" s="336"/>
      <c r="U27" s="336"/>
      <c r="V27" s="338" t="str">
        <f t="shared" si="4"/>
        <v>NA</v>
      </c>
      <c r="W27" s="336"/>
      <c r="X27" s="339" t="str">
        <f t="shared" si="5"/>
        <v>NA</v>
      </c>
      <c r="Y27" s="309"/>
      <c r="Z27" s="787" t="s">
        <v>254</v>
      </c>
      <c r="AA27" s="788"/>
      <c r="AB27" s="336"/>
      <c r="AC27" s="336"/>
      <c r="AD27" s="338" t="str">
        <f t="shared" si="6"/>
        <v>NA</v>
      </c>
      <c r="AE27" s="336"/>
      <c r="AF27" s="339" t="str">
        <f t="shared" si="7"/>
        <v>NA</v>
      </c>
      <c r="AG27" s="309"/>
    </row>
    <row r="28" spans="1:33" s="78" customFormat="1" ht="17.100000000000001" customHeight="1" x14ac:dyDescent="0.2">
      <c r="A28" s="324"/>
      <c r="B28" s="787" t="s">
        <v>255</v>
      </c>
      <c r="C28" s="788"/>
      <c r="D28" s="336"/>
      <c r="E28" s="336"/>
      <c r="F28" s="338" t="str">
        <f t="shared" si="0"/>
        <v>NA</v>
      </c>
      <c r="G28" s="336"/>
      <c r="H28" s="339" t="str">
        <f t="shared" si="1"/>
        <v>NA</v>
      </c>
      <c r="I28" s="309"/>
      <c r="J28" s="787" t="s">
        <v>255</v>
      </c>
      <c r="K28" s="788"/>
      <c r="L28" s="336"/>
      <c r="M28" s="336"/>
      <c r="N28" s="338" t="str">
        <f t="shared" si="2"/>
        <v>NA</v>
      </c>
      <c r="O28" s="336"/>
      <c r="P28" s="339" t="str">
        <f t="shared" si="3"/>
        <v>NA</v>
      </c>
      <c r="Q28" s="309"/>
      <c r="R28" s="787" t="s">
        <v>255</v>
      </c>
      <c r="S28" s="788"/>
      <c r="T28" s="336"/>
      <c r="U28" s="336"/>
      <c r="V28" s="338" t="str">
        <f t="shared" si="4"/>
        <v>NA</v>
      </c>
      <c r="W28" s="336"/>
      <c r="X28" s="339" t="str">
        <f t="shared" si="5"/>
        <v>NA</v>
      </c>
      <c r="Y28" s="309"/>
      <c r="Z28" s="787" t="s">
        <v>255</v>
      </c>
      <c r="AA28" s="788"/>
      <c r="AB28" s="336"/>
      <c r="AC28" s="336"/>
      <c r="AD28" s="338" t="str">
        <f t="shared" si="6"/>
        <v>NA</v>
      </c>
      <c r="AE28" s="336"/>
      <c r="AF28" s="339" t="str">
        <f t="shared" si="7"/>
        <v>NA</v>
      </c>
      <c r="AG28" s="309"/>
    </row>
    <row r="29" spans="1:33" s="78" customFormat="1" ht="17.100000000000001" customHeight="1" x14ac:dyDescent="0.2">
      <c r="A29" s="324"/>
      <c r="B29" s="787" t="s">
        <v>248</v>
      </c>
      <c r="C29" s="788"/>
      <c r="D29" s="336"/>
      <c r="E29" s="336"/>
      <c r="F29" s="338" t="str">
        <f t="shared" si="0"/>
        <v>NA</v>
      </c>
      <c r="G29" s="336"/>
      <c r="H29" s="339" t="str">
        <f t="shared" si="1"/>
        <v>NA</v>
      </c>
      <c r="I29" s="309"/>
      <c r="J29" s="787" t="s">
        <v>248</v>
      </c>
      <c r="K29" s="788"/>
      <c r="L29" s="336"/>
      <c r="M29" s="336"/>
      <c r="N29" s="338" t="str">
        <f t="shared" si="2"/>
        <v>NA</v>
      </c>
      <c r="O29" s="336"/>
      <c r="P29" s="339" t="str">
        <f t="shared" si="3"/>
        <v>NA</v>
      </c>
      <c r="Q29" s="309"/>
      <c r="R29" s="787" t="s">
        <v>248</v>
      </c>
      <c r="S29" s="788"/>
      <c r="T29" s="336"/>
      <c r="U29" s="336"/>
      <c r="V29" s="338" t="str">
        <f t="shared" si="4"/>
        <v>NA</v>
      </c>
      <c r="W29" s="336"/>
      <c r="X29" s="339" t="str">
        <f t="shared" si="5"/>
        <v>NA</v>
      </c>
      <c r="Y29" s="309"/>
      <c r="Z29" s="787" t="s">
        <v>248</v>
      </c>
      <c r="AA29" s="788"/>
      <c r="AB29" s="336"/>
      <c r="AC29" s="336"/>
      <c r="AD29" s="338" t="str">
        <f t="shared" si="6"/>
        <v>NA</v>
      </c>
      <c r="AE29" s="336"/>
      <c r="AF29" s="339" t="str">
        <f t="shared" si="7"/>
        <v>NA</v>
      </c>
      <c r="AG29" s="309"/>
    </row>
    <row r="30" spans="1:33" s="78" customFormat="1" ht="17.100000000000001" customHeight="1" x14ac:dyDescent="0.2">
      <c r="A30" s="324"/>
      <c r="B30" s="787"/>
      <c r="C30" s="788"/>
      <c r="D30" s="340"/>
      <c r="E30" s="341"/>
      <c r="F30" s="338"/>
      <c r="G30" s="341"/>
      <c r="H30" s="339"/>
      <c r="I30" s="309"/>
      <c r="J30" s="787"/>
      <c r="K30" s="788"/>
      <c r="L30" s="340"/>
      <c r="M30" s="341"/>
      <c r="N30" s="338"/>
      <c r="O30" s="341"/>
      <c r="P30" s="339"/>
      <c r="Q30" s="309"/>
      <c r="R30" s="787"/>
      <c r="S30" s="788"/>
      <c r="T30" s="340"/>
      <c r="U30" s="341"/>
      <c r="V30" s="338"/>
      <c r="W30" s="341"/>
      <c r="X30" s="339"/>
      <c r="Y30" s="309"/>
      <c r="Z30" s="787"/>
      <c r="AA30" s="788"/>
      <c r="AB30" s="340"/>
      <c r="AC30" s="341"/>
      <c r="AD30" s="338"/>
      <c r="AE30" s="341"/>
      <c r="AF30" s="339"/>
      <c r="AG30" s="309"/>
    </row>
    <row r="31" spans="1:33" s="78" customFormat="1" ht="17.100000000000001" customHeight="1" x14ac:dyDescent="0.2">
      <c r="A31" s="324"/>
      <c r="B31" s="781" t="s">
        <v>256</v>
      </c>
      <c r="C31" s="782"/>
      <c r="D31" s="346">
        <f>+D21+D24+D25+D26+D27+D28+D29</f>
        <v>0</v>
      </c>
      <c r="E31" s="346">
        <f>+E21+E24+E25+E26+E27+E28+E29</f>
        <v>0</v>
      </c>
      <c r="F31" s="334" t="str">
        <f>IF(D31=0,"NA",(E31-D31)/D31)</f>
        <v>NA</v>
      </c>
      <c r="G31" s="346">
        <f>+G21+G24+G25+G26+G27+G28+G29</f>
        <v>0</v>
      </c>
      <c r="H31" s="347" t="str">
        <f>IF(E31=0,"NA",(G31-E31)/E31)</f>
        <v>NA</v>
      </c>
      <c r="I31" s="309"/>
      <c r="J31" s="781" t="s">
        <v>256</v>
      </c>
      <c r="K31" s="782"/>
      <c r="L31" s="346">
        <f>+L21+L24+L25+L26+L27+L28+L29</f>
        <v>0</v>
      </c>
      <c r="M31" s="346">
        <f>+M21+M24+M25+M26+M27+M28+M29</f>
        <v>0</v>
      </c>
      <c r="N31" s="334" t="str">
        <f>IF(L31=0, "NA", (M31-L31)/M31)</f>
        <v>NA</v>
      </c>
      <c r="O31" s="346">
        <f>+O21+O24+O25+O26+O27+O28+O29</f>
        <v>0</v>
      </c>
      <c r="P31" s="347" t="str">
        <f>IF(M31=0,"NA",(O31-M31)/M31)</f>
        <v>NA</v>
      </c>
      <c r="Q31" s="309"/>
      <c r="R31" s="781" t="s">
        <v>256</v>
      </c>
      <c r="S31" s="782"/>
      <c r="T31" s="346">
        <f>+T21+T24+T25+T26+T27+T28+T29</f>
        <v>0</v>
      </c>
      <c r="U31" s="346">
        <f>+U21+U24+U25+U26+U27+U28+U29</f>
        <v>0</v>
      </c>
      <c r="V31" s="334" t="str">
        <f>IF(T31=0, "NA", (U31-T31)/T31)</f>
        <v>NA</v>
      </c>
      <c r="W31" s="346">
        <f>+W21+W24+W25+W26+W27+W28+W29</f>
        <v>0</v>
      </c>
      <c r="X31" s="347" t="str">
        <f>IF(U31=0,"NA",(W31-U31)/U31)</f>
        <v>NA</v>
      </c>
      <c r="Y31" s="309"/>
      <c r="Z31" s="781" t="s">
        <v>256</v>
      </c>
      <c r="AA31" s="782"/>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1:33" s="78" customFormat="1" ht="17.100000000000001" customHeight="1" x14ac:dyDescent="0.2">
      <c r="A32" s="324"/>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1:33" s="78" customFormat="1" ht="17.100000000000001" customHeight="1" x14ac:dyDescent="0.2">
      <c r="A33" s="324"/>
      <c r="B33" s="787" t="s">
        <v>257</v>
      </c>
      <c r="C33" s="788"/>
      <c r="D33" s="340"/>
      <c r="E33" s="341"/>
      <c r="F33" s="338"/>
      <c r="G33" s="341"/>
      <c r="H33" s="339"/>
      <c r="I33" s="309"/>
      <c r="J33" s="787" t="s">
        <v>257</v>
      </c>
      <c r="K33" s="788"/>
      <c r="L33" s="340"/>
      <c r="M33" s="341"/>
      <c r="N33" s="338"/>
      <c r="O33" s="341"/>
      <c r="P33" s="339"/>
      <c r="Q33" s="309"/>
      <c r="R33" s="787" t="s">
        <v>257</v>
      </c>
      <c r="S33" s="788"/>
      <c r="T33" s="340"/>
      <c r="U33" s="341"/>
      <c r="V33" s="338"/>
      <c r="W33" s="341"/>
      <c r="X33" s="339"/>
      <c r="Y33" s="309"/>
      <c r="Z33" s="787" t="s">
        <v>257</v>
      </c>
      <c r="AA33" s="788"/>
      <c r="AB33" s="340"/>
      <c r="AC33" s="341"/>
      <c r="AD33" s="338"/>
      <c r="AE33" s="341"/>
      <c r="AF33" s="339"/>
      <c r="AG33" s="309"/>
    </row>
    <row r="34" spans="1:33" s="78" customFormat="1" ht="17.100000000000001" customHeight="1" x14ac:dyDescent="0.2">
      <c r="A34" s="324"/>
      <c r="B34" s="787" t="s">
        <v>258</v>
      </c>
      <c r="C34" s="788"/>
      <c r="D34" s="336"/>
      <c r="E34" s="336"/>
      <c r="F34" s="338" t="str">
        <f t="shared" ref="F34:F41" si="8">IF(D34=0,"NA",(E34-D34)/D34)</f>
        <v>NA</v>
      </c>
      <c r="G34" s="336"/>
      <c r="H34" s="339" t="str">
        <f t="shared" ref="H34:H40" si="9">IF(E34=0,"NA",(G34-E34)/E34)</f>
        <v>NA</v>
      </c>
      <c r="I34" s="309"/>
      <c r="J34" s="787" t="s">
        <v>258</v>
      </c>
      <c r="K34" s="788"/>
      <c r="L34" s="336"/>
      <c r="M34" s="336"/>
      <c r="N34" s="338" t="str">
        <f t="shared" ref="N34:N41" si="10">IF(L34=0, "NA", (M34-L34)/M34)</f>
        <v>NA</v>
      </c>
      <c r="O34" s="336"/>
      <c r="P34" s="339" t="str">
        <f t="shared" ref="P34:P40" si="11">IF(M34=0,"NA",(O34-M34)/M34)</f>
        <v>NA</v>
      </c>
      <c r="Q34" s="309"/>
      <c r="R34" s="787" t="s">
        <v>258</v>
      </c>
      <c r="S34" s="788"/>
      <c r="T34" s="336"/>
      <c r="U34" s="336"/>
      <c r="V34" s="338" t="str">
        <f t="shared" ref="V34:V41" si="12">IF(T34=0, "NA", (U34-T34)/T34)</f>
        <v>NA</v>
      </c>
      <c r="W34" s="336"/>
      <c r="X34" s="339" t="str">
        <f t="shared" ref="X34:X40" si="13">IF(U34=0,"NA",(W34-U34)/U34)</f>
        <v>NA</v>
      </c>
      <c r="Y34" s="309"/>
      <c r="Z34" s="787" t="s">
        <v>258</v>
      </c>
      <c r="AA34" s="788"/>
      <c r="AB34" s="336"/>
      <c r="AC34" s="336"/>
      <c r="AD34" s="338" t="str">
        <f t="shared" ref="AD34:AD41" si="14">IF(AB34=0, "NA", (AC34-AB34)/AB34)</f>
        <v>NA</v>
      </c>
      <c r="AE34" s="336"/>
      <c r="AF34" s="339" t="str">
        <f t="shared" ref="AF34:AF40" si="15">IF(AC34=0,"NA",(AE34-AC34)/AC34)</f>
        <v>NA</v>
      </c>
      <c r="AG34" s="309"/>
    </row>
    <row r="35" spans="1:33" s="78" customFormat="1" ht="17.100000000000001" customHeight="1" x14ac:dyDescent="0.2">
      <c r="A35" s="324"/>
      <c r="B35" s="787" t="s">
        <v>259</v>
      </c>
      <c r="C35" s="788"/>
      <c r="D35" s="336"/>
      <c r="E35" s="336"/>
      <c r="F35" s="338" t="str">
        <f t="shared" si="8"/>
        <v>NA</v>
      </c>
      <c r="G35" s="336"/>
      <c r="H35" s="339" t="str">
        <f t="shared" si="9"/>
        <v>NA</v>
      </c>
      <c r="I35" s="309"/>
      <c r="J35" s="787" t="s">
        <v>259</v>
      </c>
      <c r="K35" s="788"/>
      <c r="L35" s="336"/>
      <c r="M35" s="336"/>
      <c r="N35" s="338" t="str">
        <f t="shared" si="10"/>
        <v>NA</v>
      </c>
      <c r="O35" s="336"/>
      <c r="P35" s="339" t="str">
        <f t="shared" si="11"/>
        <v>NA</v>
      </c>
      <c r="Q35" s="309"/>
      <c r="R35" s="787" t="s">
        <v>259</v>
      </c>
      <c r="S35" s="788"/>
      <c r="T35" s="336"/>
      <c r="U35" s="336"/>
      <c r="V35" s="338" t="str">
        <f t="shared" si="12"/>
        <v>NA</v>
      </c>
      <c r="W35" s="336"/>
      <c r="X35" s="339" t="str">
        <f t="shared" si="13"/>
        <v>NA</v>
      </c>
      <c r="Y35" s="309"/>
      <c r="Z35" s="787" t="s">
        <v>259</v>
      </c>
      <c r="AA35" s="788"/>
      <c r="AB35" s="336"/>
      <c r="AC35" s="336"/>
      <c r="AD35" s="338" t="str">
        <f t="shared" si="14"/>
        <v>NA</v>
      </c>
      <c r="AE35" s="336"/>
      <c r="AF35" s="339" t="str">
        <f t="shared" si="15"/>
        <v>NA</v>
      </c>
      <c r="AG35" s="309"/>
    </row>
    <row r="36" spans="1:33" s="78" customFormat="1" ht="17.100000000000001" customHeight="1" x14ac:dyDescent="0.2">
      <c r="A36" s="324"/>
      <c r="B36" s="787" t="s">
        <v>24</v>
      </c>
      <c r="C36" s="788"/>
      <c r="D36" s="336"/>
      <c r="E36" s="336"/>
      <c r="F36" s="338" t="str">
        <f t="shared" si="8"/>
        <v>NA</v>
      </c>
      <c r="G36" s="336"/>
      <c r="H36" s="339" t="str">
        <f t="shared" si="9"/>
        <v>NA</v>
      </c>
      <c r="I36" s="309"/>
      <c r="J36" s="787" t="s">
        <v>24</v>
      </c>
      <c r="K36" s="788"/>
      <c r="L36" s="336"/>
      <c r="M36" s="336"/>
      <c r="N36" s="338" t="str">
        <f t="shared" si="10"/>
        <v>NA</v>
      </c>
      <c r="O36" s="336"/>
      <c r="P36" s="339" t="str">
        <f t="shared" si="11"/>
        <v>NA</v>
      </c>
      <c r="Q36" s="309"/>
      <c r="R36" s="787" t="s">
        <v>24</v>
      </c>
      <c r="S36" s="788"/>
      <c r="T36" s="336"/>
      <c r="U36" s="336"/>
      <c r="V36" s="338" t="str">
        <f t="shared" si="12"/>
        <v>NA</v>
      </c>
      <c r="W36" s="336"/>
      <c r="X36" s="339" t="str">
        <f t="shared" si="13"/>
        <v>NA</v>
      </c>
      <c r="Y36" s="309"/>
      <c r="Z36" s="787" t="s">
        <v>24</v>
      </c>
      <c r="AA36" s="788"/>
      <c r="AB36" s="336"/>
      <c r="AC36" s="336"/>
      <c r="AD36" s="338" t="str">
        <f t="shared" si="14"/>
        <v>NA</v>
      </c>
      <c r="AE36" s="336"/>
      <c r="AF36" s="339" t="str">
        <f t="shared" si="15"/>
        <v>NA</v>
      </c>
      <c r="AG36" s="309"/>
    </row>
    <row r="37" spans="1:33" s="78" customFormat="1" ht="17.100000000000001" customHeight="1" x14ac:dyDescent="0.2">
      <c r="A37" s="324"/>
      <c r="B37" s="787" t="s">
        <v>260</v>
      </c>
      <c r="C37" s="788"/>
      <c r="D37" s="336"/>
      <c r="E37" s="336"/>
      <c r="F37" s="338" t="str">
        <f t="shared" si="8"/>
        <v>NA</v>
      </c>
      <c r="G37" s="336"/>
      <c r="H37" s="339" t="str">
        <f t="shared" si="9"/>
        <v>NA</v>
      </c>
      <c r="I37" s="309"/>
      <c r="J37" s="787" t="s">
        <v>260</v>
      </c>
      <c r="K37" s="788"/>
      <c r="L37" s="336"/>
      <c r="M37" s="336"/>
      <c r="N37" s="338" t="str">
        <f t="shared" si="10"/>
        <v>NA</v>
      </c>
      <c r="O37" s="336"/>
      <c r="P37" s="339" t="str">
        <f t="shared" si="11"/>
        <v>NA</v>
      </c>
      <c r="Q37" s="309"/>
      <c r="R37" s="787" t="s">
        <v>260</v>
      </c>
      <c r="S37" s="788"/>
      <c r="T37" s="336"/>
      <c r="U37" s="336"/>
      <c r="V37" s="338" t="str">
        <f t="shared" si="12"/>
        <v>NA</v>
      </c>
      <c r="W37" s="336"/>
      <c r="X37" s="339" t="str">
        <f t="shared" si="13"/>
        <v>NA</v>
      </c>
      <c r="Y37" s="309"/>
      <c r="Z37" s="787" t="s">
        <v>260</v>
      </c>
      <c r="AA37" s="788"/>
      <c r="AB37" s="336"/>
      <c r="AC37" s="336"/>
      <c r="AD37" s="338" t="str">
        <f t="shared" si="14"/>
        <v>NA</v>
      </c>
      <c r="AE37" s="336"/>
      <c r="AF37" s="339" t="str">
        <f t="shared" si="15"/>
        <v>NA</v>
      </c>
      <c r="AG37" s="309"/>
    </row>
    <row r="38" spans="1:33" s="78" customFormat="1" ht="17.100000000000001" customHeight="1" x14ac:dyDescent="0.2">
      <c r="A38" s="324"/>
      <c r="B38" s="787" t="s">
        <v>261</v>
      </c>
      <c r="C38" s="788"/>
      <c r="D38" s="336"/>
      <c r="E38" s="336"/>
      <c r="F38" s="338" t="str">
        <f t="shared" si="8"/>
        <v>NA</v>
      </c>
      <c r="G38" s="336"/>
      <c r="H38" s="339" t="str">
        <f t="shared" si="9"/>
        <v>NA</v>
      </c>
      <c r="I38" s="309"/>
      <c r="J38" s="787" t="s">
        <v>261</v>
      </c>
      <c r="K38" s="788"/>
      <c r="L38" s="336"/>
      <c r="M38" s="336"/>
      <c r="N38" s="338" t="str">
        <f t="shared" si="10"/>
        <v>NA</v>
      </c>
      <c r="O38" s="336"/>
      <c r="P38" s="339" t="str">
        <f t="shared" si="11"/>
        <v>NA</v>
      </c>
      <c r="Q38" s="309"/>
      <c r="R38" s="787" t="s">
        <v>261</v>
      </c>
      <c r="S38" s="788"/>
      <c r="T38" s="336"/>
      <c r="U38" s="336"/>
      <c r="V38" s="338" t="str">
        <f t="shared" si="12"/>
        <v>NA</v>
      </c>
      <c r="W38" s="336"/>
      <c r="X38" s="339" t="str">
        <f t="shared" si="13"/>
        <v>NA</v>
      </c>
      <c r="Y38" s="309"/>
      <c r="Z38" s="787" t="s">
        <v>261</v>
      </c>
      <c r="AA38" s="788"/>
      <c r="AB38" s="336"/>
      <c r="AC38" s="336"/>
      <c r="AD38" s="338" t="str">
        <f t="shared" si="14"/>
        <v>NA</v>
      </c>
      <c r="AE38" s="336"/>
      <c r="AF38" s="339" t="str">
        <f t="shared" si="15"/>
        <v>NA</v>
      </c>
      <c r="AG38" s="309"/>
    </row>
    <row r="39" spans="1:33" s="78" customFormat="1" ht="17.100000000000001" customHeight="1" x14ac:dyDescent="0.2">
      <c r="A39" s="324"/>
      <c r="B39" s="787" t="s">
        <v>262</v>
      </c>
      <c r="C39" s="788"/>
      <c r="D39" s="336"/>
      <c r="E39" s="336"/>
      <c r="F39" s="338" t="str">
        <f t="shared" si="8"/>
        <v>NA</v>
      </c>
      <c r="G39" s="336"/>
      <c r="H39" s="339" t="str">
        <f t="shared" si="9"/>
        <v>NA</v>
      </c>
      <c r="I39" s="309"/>
      <c r="J39" s="787" t="s">
        <v>262</v>
      </c>
      <c r="K39" s="788"/>
      <c r="L39" s="336"/>
      <c r="M39" s="336"/>
      <c r="N39" s="338" t="str">
        <f t="shared" si="10"/>
        <v>NA</v>
      </c>
      <c r="O39" s="336"/>
      <c r="P39" s="339" t="str">
        <f t="shared" si="11"/>
        <v>NA</v>
      </c>
      <c r="Q39" s="309"/>
      <c r="R39" s="787" t="s">
        <v>262</v>
      </c>
      <c r="S39" s="788"/>
      <c r="T39" s="336"/>
      <c r="U39" s="336"/>
      <c r="V39" s="338" t="str">
        <f t="shared" si="12"/>
        <v>NA</v>
      </c>
      <c r="W39" s="336"/>
      <c r="X39" s="339" t="str">
        <f t="shared" si="13"/>
        <v>NA</v>
      </c>
      <c r="Y39" s="309"/>
      <c r="Z39" s="787" t="s">
        <v>262</v>
      </c>
      <c r="AA39" s="788"/>
      <c r="AB39" s="336"/>
      <c r="AC39" s="336"/>
      <c r="AD39" s="338" t="str">
        <f t="shared" si="14"/>
        <v>NA</v>
      </c>
      <c r="AE39" s="336"/>
      <c r="AF39" s="339" t="str">
        <f t="shared" si="15"/>
        <v>NA</v>
      </c>
      <c r="AG39" s="309"/>
    </row>
    <row r="40" spans="1:33" s="78" customFormat="1" ht="17.100000000000001" customHeight="1" x14ac:dyDescent="0.2">
      <c r="A40" s="324"/>
      <c r="B40" s="787" t="s">
        <v>263</v>
      </c>
      <c r="C40" s="788"/>
      <c r="D40" s="336"/>
      <c r="E40" s="336"/>
      <c r="F40" s="338" t="str">
        <f t="shared" si="8"/>
        <v>NA</v>
      </c>
      <c r="G40" s="336"/>
      <c r="H40" s="339" t="str">
        <f t="shared" si="9"/>
        <v>NA</v>
      </c>
      <c r="I40" s="309"/>
      <c r="J40" s="787" t="s">
        <v>263</v>
      </c>
      <c r="K40" s="788"/>
      <c r="L40" s="336"/>
      <c r="M40" s="336"/>
      <c r="N40" s="338" t="str">
        <f t="shared" si="10"/>
        <v>NA</v>
      </c>
      <c r="O40" s="336"/>
      <c r="P40" s="339" t="str">
        <f t="shared" si="11"/>
        <v>NA</v>
      </c>
      <c r="Q40" s="309"/>
      <c r="R40" s="787" t="s">
        <v>263</v>
      </c>
      <c r="S40" s="788"/>
      <c r="T40" s="336"/>
      <c r="U40" s="336"/>
      <c r="V40" s="338" t="str">
        <f t="shared" si="12"/>
        <v>NA</v>
      </c>
      <c r="W40" s="336"/>
      <c r="X40" s="339" t="str">
        <f t="shared" si="13"/>
        <v>NA</v>
      </c>
      <c r="Y40" s="309"/>
      <c r="Z40" s="787" t="s">
        <v>263</v>
      </c>
      <c r="AA40" s="788"/>
      <c r="AB40" s="336"/>
      <c r="AC40" s="336"/>
      <c r="AD40" s="338" t="str">
        <f t="shared" si="14"/>
        <v>NA</v>
      </c>
      <c r="AE40" s="336"/>
      <c r="AF40" s="339" t="str">
        <f t="shared" si="15"/>
        <v>NA</v>
      </c>
      <c r="AG40" s="309"/>
    </row>
    <row r="41" spans="1:33" s="78" customFormat="1" ht="27.75" customHeight="1" x14ac:dyDescent="0.2">
      <c r="A41" s="324"/>
      <c r="B41" s="781" t="s">
        <v>264</v>
      </c>
      <c r="C41" s="782"/>
      <c r="D41" s="346">
        <f>SUM(D31:D40)</f>
        <v>0</v>
      </c>
      <c r="E41" s="346">
        <f>SUM(E31:E40)</f>
        <v>0</v>
      </c>
      <c r="F41" s="334" t="str">
        <f t="shared" si="8"/>
        <v>NA</v>
      </c>
      <c r="G41" s="346">
        <f>SUM(G31:G40)</f>
        <v>0</v>
      </c>
      <c r="H41" s="352" t="str">
        <f>IF(E41=0,"NA",(G41-E41)/E41)</f>
        <v>NA</v>
      </c>
      <c r="I41" s="309"/>
      <c r="J41" s="781" t="s">
        <v>264</v>
      </c>
      <c r="K41" s="782"/>
      <c r="L41" s="346">
        <f>SUM(L31:L40)</f>
        <v>0</v>
      </c>
      <c r="M41" s="346">
        <f>SUM(M31:M40)</f>
        <v>0</v>
      </c>
      <c r="N41" s="334" t="str">
        <f t="shared" si="10"/>
        <v>NA</v>
      </c>
      <c r="O41" s="346">
        <f>SUM(O31:O40)</f>
        <v>0</v>
      </c>
      <c r="P41" s="352" t="str">
        <f>IF(M41=0,"NA",(O41-M41)/M41)</f>
        <v>NA</v>
      </c>
      <c r="Q41" s="309"/>
      <c r="R41" s="781" t="s">
        <v>264</v>
      </c>
      <c r="S41" s="782"/>
      <c r="T41" s="346">
        <f>SUM(T31:T40)</f>
        <v>0</v>
      </c>
      <c r="U41" s="346">
        <f>SUM(U31:U40)</f>
        <v>0</v>
      </c>
      <c r="V41" s="334" t="str">
        <f t="shared" si="12"/>
        <v>NA</v>
      </c>
      <c r="W41" s="346">
        <f>SUM(W31:W40)</f>
        <v>0</v>
      </c>
      <c r="X41" s="352" t="str">
        <f>IF(U41=0,"NA",(W41-U41)/U41)</f>
        <v>NA</v>
      </c>
      <c r="Y41" s="309"/>
      <c r="Z41" s="781" t="s">
        <v>264</v>
      </c>
      <c r="AA41" s="782"/>
      <c r="AB41" s="346">
        <f>SUM(AB31:AB40)</f>
        <v>0</v>
      </c>
      <c r="AC41" s="346">
        <f>SUM(AC31:AC40)</f>
        <v>0</v>
      </c>
      <c r="AD41" s="334" t="str">
        <f t="shared" si="14"/>
        <v>NA</v>
      </c>
      <c r="AE41" s="346">
        <f>SUM(AE31:AE40)</f>
        <v>0</v>
      </c>
      <c r="AF41" s="352" t="str">
        <f>IF(AC41=0,"NA",(AE41-AC41)/AC41)</f>
        <v>NA</v>
      </c>
      <c r="AG41" s="309"/>
    </row>
    <row r="42" spans="1:33" s="78" customFormat="1" ht="17.100000000000001" customHeight="1" thickBot="1" x14ac:dyDescent="0.25">
      <c r="A42" s="324"/>
      <c r="B42" s="789"/>
      <c r="C42" s="790"/>
      <c r="D42" s="353"/>
      <c r="E42" s="354"/>
      <c r="F42" s="355"/>
      <c r="G42" s="354"/>
      <c r="H42" s="356"/>
      <c r="I42" s="309"/>
      <c r="J42" s="789"/>
      <c r="K42" s="790"/>
      <c r="L42" s="353"/>
      <c r="M42" s="354"/>
      <c r="N42" s="355"/>
      <c r="O42" s="354"/>
      <c r="P42" s="356"/>
      <c r="Q42" s="309"/>
      <c r="R42" s="789"/>
      <c r="S42" s="790"/>
      <c r="T42" s="353"/>
      <c r="U42" s="354"/>
      <c r="V42" s="355"/>
      <c r="W42" s="354"/>
      <c r="X42" s="356"/>
      <c r="Y42" s="309"/>
      <c r="Z42" s="789"/>
      <c r="AA42" s="790"/>
      <c r="AB42" s="353"/>
      <c r="AC42" s="354"/>
      <c r="AD42" s="355"/>
      <c r="AE42" s="354"/>
      <c r="AF42" s="356"/>
      <c r="AG42" s="309"/>
    </row>
    <row r="43" spans="1:33" x14ac:dyDescent="0.2">
      <c r="A43" s="377"/>
      <c r="B43" s="378"/>
      <c r="C43" s="379"/>
      <c r="D43" s="380"/>
      <c r="E43" s="380"/>
      <c r="F43" s="381"/>
      <c r="G43" s="380"/>
      <c r="H43" s="379"/>
      <c r="I43" s="377"/>
      <c r="J43" s="378"/>
      <c r="K43" s="379"/>
      <c r="L43" s="380"/>
      <c r="M43" s="380"/>
      <c r="N43" s="381"/>
      <c r="O43" s="380"/>
      <c r="P43" s="382"/>
      <c r="Q43" s="377"/>
      <c r="R43" s="377"/>
      <c r="S43" s="377"/>
      <c r="T43" s="377"/>
      <c r="U43" s="377"/>
      <c r="V43" s="383"/>
      <c r="W43" s="377"/>
      <c r="X43" s="377"/>
    </row>
    <row r="44" spans="1:33" x14ac:dyDescent="0.2">
      <c r="A44" s="377"/>
      <c r="B44" s="377"/>
      <c r="C44" s="384"/>
      <c r="D44" s="384"/>
      <c r="E44" s="384"/>
      <c r="F44" s="385"/>
      <c r="G44" s="384"/>
      <c r="H44" s="384"/>
      <c r="I44" s="377"/>
      <c r="J44" s="377"/>
      <c r="K44" s="384"/>
      <c r="L44" s="384"/>
      <c r="M44" s="384"/>
      <c r="N44" s="385"/>
      <c r="O44" s="384"/>
      <c r="P44" s="386"/>
      <c r="Q44" s="377"/>
      <c r="R44" s="377"/>
      <c r="S44" s="377"/>
      <c r="T44" s="377"/>
      <c r="U44" s="377"/>
      <c r="V44" s="383"/>
      <c r="W44" s="377"/>
      <c r="X44" s="377"/>
    </row>
    <row r="45" spans="1:33" x14ac:dyDescent="0.2">
      <c r="A45" s="377"/>
      <c r="B45" s="377"/>
      <c r="C45" s="384"/>
      <c r="D45" s="384"/>
      <c r="E45" s="384"/>
      <c r="F45" s="385"/>
      <c r="G45" s="384"/>
      <c r="H45" s="384"/>
      <c r="I45" s="377"/>
      <c r="J45" s="377"/>
      <c r="K45" s="384"/>
      <c r="L45" s="384"/>
      <c r="M45" s="384"/>
      <c r="N45" s="385"/>
      <c r="O45" s="384"/>
      <c r="P45" s="384"/>
      <c r="Q45" s="377"/>
      <c r="R45" s="377"/>
      <c r="S45" s="377"/>
      <c r="T45" s="377"/>
      <c r="U45" s="377"/>
      <c r="V45" s="383"/>
      <c r="W45" s="377"/>
      <c r="X45" s="377"/>
    </row>
    <row r="46" spans="1:33" x14ac:dyDescent="0.2">
      <c r="A46" s="377"/>
      <c r="B46" s="377"/>
      <c r="C46" s="384"/>
      <c r="D46" s="384"/>
      <c r="E46" s="384"/>
      <c r="F46" s="385"/>
      <c r="G46" s="384"/>
      <c r="H46" s="384"/>
      <c r="I46" s="377"/>
      <c r="J46" s="377"/>
      <c r="K46" s="384"/>
      <c r="L46" s="384"/>
      <c r="M46" s="384"/>
      <c r="N46" s="385"/>
      <c r="O46" s="384"/>
      <c r="P46" s="384"/>
      <c r="Q46" s="377"/>
      <c r="R46" s="377"/>
      <c r="S46" s="377"/>
      <c r="T46" s="377"/>
      <c r="U46" s="377"/>
      <c r="V46" s="383"/>
      <c r="W46" s="377"/>
      <c r="X46" s="377"/>
    </row>
    <row r="47" spans="1:33" x14ac:dyDescent="0.2">
      <c r="A47" s="377"/>
      <c r="B47" s="377"/>
      <c r="C47" s="384"/>
      <c r="D47" s="384"/>
      <c r="E47" s="384"/>
      <c r="F47" s="385"/>
      <c r="G47" s="384"/>
      <c r="H47" s="384"/>
      <c r="I47" s="377"/>
      <c r="J47" s="377"/>
      <c r="K47" s="384"/>
      <c r="L47" s="384"/>
      <c r="M47" s="384"/>
      <c r="N47" s="385"/>
      <c r="O47" s="384"/>
      <c r="P47" s="384"/>
      <c r="Q47" s="377"/>
      <c r="R47" s="377"/>
      <c r="S47" s="377"/>
      <c r="T47" s="377"/>
      <c r="U47" s="377"/>
      <c r="V47" s="383"/>
      <c r="W47" s="377"/>
      <c r="X47" s="377"/>
    </row>
    <row r="48" spans="1:33" x14ac:dyDescent="0.2">
      <c r="B48" s="377"/>
      <c r="C48" s="384"/>
      <c r="D48" s="384"/>
      <c r="E48" s="384"/>
      <c r="F48" s="385"/>
      <c r="G48" s="384"/>
      <c r="H48" s="384"/>
      <c r="I48" s="377"/>
      <c r="J48" s="377"/>
      <c r="K48" s="384"/>
      <c r="L48" s="384"/>
      <c r="M48" s="384"/>
      <c r="N48" s="385"/>
      <c r="O48" s="384"/>
      <c r="P48" s="384"/>
      <c r="Q48" s="377"/>
      <c r="R48" s="377"/>
      <c r="S48" s="377"/>
      <c r="T48" s="377"/>
      <c r="U48" s="377"/>
      <c r="V48" s="383"/>
      <c r="W48" s="377"/>
      <c r="X48" s="377"/>
    </row>
    <row r="2898" spans="6:6" ht="15" customHeight="1" x14ac:dyDescent="0.2"/>
    <row r="2899" spans="6:6" ht="85.5" customHeight="1" x14ac:dyDescent="0.2">
      <c r="F2899" s="372"/>
    </row>
    <row r="2900" spans="6:6" ht="85.5" customHeight="1" x14ac:dyDescent="0.2">
      <c r="F2900" s="372"/>
    </row>
    <row r="2901" spans="6:6" ht="85.5" customHeight="1" x14ac:dyDescent="0.2">
      <c r="F2901" s="372"/>
    </row>
    <row r="2902" spans="6:6" ht="85.5" customHeight="1" x14ac:dyDescent="0.2">
      <c r="F2902" s="372"/>
    </row>
    <row r="2903" spans="6:6" ht="85.5" customHeight="1" x14ac:dyDescent="0.2">
      <c r="F2903" s="372"/>
    </row>
    <row r="2904" spans="6:6" ht="85.5" customHeight="1" x14ac:dyDescent="0.2">
      <c r="F2904" s="372"/>
    </row>
    <row r="2905" spans="6:6" ht="85.5" customHeight="1" x14ac:dyDescent="0.2">
      <c r="F2905" s="372"/>
    </row>
    <row r="2906" spans="6:6" ht="85.5" customHeight="1" x14ac:dyDescent="0.2"/>
    <row r="2907" spans="6:6" ht="85.5" customHeight="1" x14ac:dyDescent="0.2"/>
  </sheetData>
  <sheetProtection algorithmName="SHA-512" hashValue="GktGSbIKltCcvsP61aD0iaq07TjjAijZV6RugfuEbKCSuU6/4KK3YMJiK64gSEhHY5Z7LL6AsJuMhD77AotZHA==" saltValue="ahj6XxL1fFx7gxcBQoHPPA==" spinCount="100000" sheet="1" objects="1" scenarios="1"/>
  <mergeCells count="144">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0:C10"/>
    <mergeCell ref="J10:K10"/>
    <mergeCell ref="R10:S10"/>
    <mergeCell ref="Z10:AA10"/>
    <mergeCell ref="B11:C11"/>
    <mergeCell ref="J11:K11"/>
    <mergeCell ref="R11:S11"/>
    <mergeCell ref="Z11:AA11"/>
    <mergeCell ref="X7:X8"/>
    <mergeCell ref="Z7:AA8"/>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s>
  <conditionalFormatting sqref="B7:H8 J7:P8 R7:X8 Z7:AF8">
    <cfRule type="expression" dxfId="62" priority="5">
      <formula>OR( Branding = "Thrive")</formula>
    </cfRule>
  </conditionalFormatting>
  <conditionalFormatting sqref="B7:H8">
    <cfRule type="expression" dxfId="61" priority="2">
      <formula>OR( Branding = "YBR")</formula>
    </cfRule>
    <cfRule type="expression" dxfId="60" priority="4">
      <formula>OR( Branding = "Paramount")</formula>
    </cfRule>
    <cfRule type="expression" dxfId="59" priority="6">
      <formula>OR( Branding = "WINWIN")</formula>
    </cfRule>
    <cfRule type="expression" dxfId="58" priority="7">
      <formula>OR( Branding = "RM")</formula>
    </cfRule>
    <cfRule type="expression" dxfId="57" priority="8">
      <formula>OR( Branding = "Go Beyond")</formula>
    </cfRule>
    <cfRule type="expression" dxfId="56" priority="9">
      <formula>OR( Branding = "AFG Align")</formula>
    </cfRule>
    <cfRule type="expression" dxfId="55" priority="10">
      <formula>OR( Branding = "AFG")</formula>
    </cfRule>
    <cfRule type="expression" dxfId="54" priority="11">
      <formula>OR( Branding = "CON")</formula>
    </cfRule>
  </conditionalFormatting>
  <conditionalFormatting sqref="J7:P8 R7:X8 Z7:AF8">
    <cfRule type="expression" dxfId="53" priority="1">
      <formula>OR( Branding = "YBR")</formula>
    </cfRule>
    <cfRule type="expression" dxfId="52" priority="3">
      <formula>OR( Branding = "Paramount")</formula>
    </cfRule>
    <cfRule type="expression" dxfId="51" priority="12">
      <formula>OR( Branding = "WINWIN")</formula>
    </cfRule>
    <cfRule type="expression" dxfId="50" priority="13">
      <formula>OR( Branding = "RM")</formula>
    </cfRule>
    <cfRule type="expression" dxfId="49" priority="14">
      <formula>OR( Branding = "Go Beyond")</formula>
    </cfRule>
    <cfRule type="expression" dxfId="48" priority="15">
      <formula>OR( Branding = "AFG Align")</formula>
    </cfRule>
    <cfRule type="expression" dxfId="47" priority="16">
      <formula>OR( Branding = "AFG")</formula>
    </cfRule>
    <cfRule type="expression" dxfId="46" priority="17">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57DC8-0FC4-49E8-A3BE-3E06503801D3}">
  <sheetPr codeName="Sheet8">
    <tabColor theme="1"/>
    <pageSetUpPr fitToPage="1"/>
  </sheetPr>
  <dimension ref="A1:AG2907"/>
  <sheetViews>
    <sheetView showGridLines="0" zoomScale="90" zoomScaleNormal="90" workbookViewId="0">
      <selection activeCell="U20" sqref="U20"/>
    </sheetView>
  </sheetViews>
  <sheetFormatPr defaultColWidth="9.140625" defaultRowHeight="12.75" x14ac:dyDescent="0.2"/>
  <cols>
    <col min="1" max="1" width="3.140625" style="1" customWidth="1"/>
    <col min="2" max="2" width="23.42578125" style="1" customWidth="1"/>
    <col min="3" max="3" width="4.28515625" style="372" customWidth="1"/>
    <col min="4" max="4" width="18.5703125" style="372" customWidth="1"/>
    <col min="5" max="5" width="14.7109375" style="372" customWidth="1"/>
    <col min="6" max="6" width="8.7109375" style="375" customWidth="1"/>
    <col min="7" max="7" width="14.7109375" style="372" customWidth="1"/>
    <col min="8" max="8" width="8.7109375" style="372" customWidth="1"/>
    <col min="9" max="9" width="1.28515625" style="1" customWidth="1"/>
    <col min="10" max="10" width="9.140625" style="1"/>
    <col min="11" max="11" width="18.5703125" style="372" customWidth="1"/>
    <col min="12" max="13" width="14.7109375" style="372" customWidth="1"/>
    <col min="14" max="14" width="8.7109375" style="375" customWidth="1"/>
    <col min="15" max="15" width="14.7109375" style="372" customWidth="1"/>
    <col min="16" max="16" width="8.7109375" style="372" customWidth="1"/>
    <col min="17" max="17" width="1.7109375" style="1" customWidth="1"/>
    <col min="18" max="18" width="9.140625" style="1"/>
    <col min="19" max="19" width="19.28515625" style="1" customWidth="1"/>
    <col min="20" max="21" width="14.7109375" style="1" customWidth="1"/>
    <col min="22" max="22" width="8.7109375" style="376" customWidth="1"/>
    <col min="23" max="23" width="14.7109375" style="1" customWidth="1"/>
    <col min="24" max="24" width="8.7109375" style="1" customWidth="1"/>
    <col min="25" max="25" width="1.7109375" style="1" customWidth="1"/>
    <col min="26" max="26" width="9.140625" style="1"/>
    <col min="27" max="27" width="19.28515625" style="1" customWidth="1"/>
    <col min="28" max="29" width="14.7109375" style="1" customWidth="1"/>
    <col min="30" max="30" width="8.7109375" style="1" customWidth="1"/>
    <col min="31" max="31" width="14.7109375" style="1" customWidth="1"/>
    <col min="32" max="32" width="8.7109375" style="1" customWidth="1"/>
    <col min="33" max="16384" width="9.140625" style="1"/>
  </cols>
  <sheetData>
    <row r="1" spans="1:33" ht="22.5" customHeight="1" x14ac:dyDescent="0.2">
      <c r="A1" s="377"/>
      <c r="B1" s="324"/>
      <c r="C1" s="301" t="s">
        <v>235</v>
      </c>
      <c r="D1" s="302"/>
      <c r="E1" s="302"/>
      <c r="F1" s="302"/>
      <c r="G1" s="303"/>
      <c r="H1" s="306"/>
      <c r="I1" s="324"/>
      <c r="J1" s="324"/>
      <c r="K1" s="306"/>
      <c r="L1" s="306"/>
      <c r="M1" s="306"/>
      <c r="N1" s="307"/>
      <c r="O1" s="306"/>
      <c r="P1" s="306"/>
      <c r="Q1" s="324"/>
      <c r="R1" s="324"/>
      <c r="S1" s="324"/>
      <c r="T1" s="324"/>
      <c r="U1" s="324"/>
      <c r="V1" s="364"/>
      <c r="W1" s="324"/>
      <c r="X1" s="324"/>
    </row>
    <row r="2" spans="1:33" ht="20.25" customHeight="1" x14ac:dyDescent="0.2">
      <c r="A2" s="377"/>
      <c r="B2" s="324"/>
      <c r="C2" s="306"/>
      <c r="D2" s="306"/>
      <c r="E2" s="306"/>
      <c r="F2" s="307"/>
      <c r="G2" s="306"/>
      <c r="H2" s="306"/>
      <c r="I2" s="324"/>
      <c r="J2" s="324"/>
      <c r="K2" s="306"/>
      <c r="L2" s="306"/>
      <c r="M2" s="306"/>
      <c r="N2" s="307"/>
      <c r="O2" s="306"/>
      <c r="P2" s="306"/>
      <c r="Q2" s="324"/>
      <c r="R2" s="324"/>
      <c r="S2" s="324"/>
      <c r="T2" s="324"/>
      <c r="U2" s="324"/>
      <c r="V2" s="364"/>
      <c r="W2" s="324"/>
      <c r="X2" s="324"/>
    </row>
    <row r="3" spans="1:33" ht="22.5" customHeight="1" x14ac:dyDescent="0.2">
      <c r="A3" s="377"/>
      <c r="B3" s="365" t="s">
        <v>236</v>
      </c>
      <c r="C3" s="769" t="str">
        <f>Loans!B12</f>
        <v/>
      </c>
      <c r="D3" s="770"/>
      <c r="E3" s="770"/>
      <c r="F3" s="770"/>
      <c r="G3" s="770"/>
      <c r="H3" s="771"/>
      <c r="I3" s="309"/>
      <c r="J3" s="321"/>
      <c r="K3" s="322"/>
      <c r="L3" s="322"/>
      <c r="M3" s="322"/>
      <c r="N3" s="323"/>
      <c r="O3" s="322"/>
      <c r="P3" s="322"/>
      <c r="Q3" s="324"/>
      <c r="R3" s="324"/>
      <c r="S3" s="324"/>
      <c r="T3" s="324"/>
      <c r="U3" s="324"/>
      <c r="V3" s="364"/>
      <c r="W3" s="324"/>
      <c r="X3" s="324"/>
    </row>
    <row r="4" spans="1:33" ht="9.75" customHeight="1" x14ac:dyDescent="0.2">
      <c r="A4" s="377"/>
      <c r="B4" s="320"/>
      <c r="C4" s="315"/>
      <c r="D4" s="315"/>
      <c r="E4" s="315"/>
      <c r="F4" s="315"/>
      <c r="G4" s="315"/>
      <c r="H4" s="315"/>
      <c r="I4" s="309"/>
      <c r="J4" s="321"/>
      <c r="K4" s="322"/>
      <c r="L4" s="322"/>
      <c r="M4" s="322"/>
      <c r="N4" s="323"/>
      <c r="O4" s="322"/>
      <c r="P4" s="322"/>
      <c r="Q4" s="324"/>
      <c r="R4" s="324"/>
      <c r="S4" s="324"/>
      <c r="T4" s="324"/>
      <c r="U4" s="324"/>
      <c r="V4" s="364"/>
      <c r="W4" s="324"/>
      <c r="X4" s="324"/>
    </row>
    <row r="5" spans="1:33" s="366" customFormat="1" ht="16.5" customHeight="1" x14ac:dyDescent="0.2">
      <c r="A5" s="378"/>
      <c r="B5" s="776" t="s">
        <v>237</v>
      </c>
      <c r="C5" s="773"/>
      <c r="D5" s="316" t="str">
        <f>Applicants!B27</f>
        <v/>
      </c>
      <c r="E5" s="774" t="str">
        <f>Applicants!C27</f>
        <v/>
      </c>
      <c r="F5" s="774"/>
      <c r="G5" s="774"/>
      <c r="H5" s="775"/>
      <c r="I5" s="317"/>
      <c r="J5" s="776" t="s">
        <v>237</v>
      </c>
      <c r="K5" s="773"/>
      <c r="L5" s="316" t="str">
        <f>Applicants!B28</f>
        <v/>
      </c>
      <c r="M5" s="774" t="str">
        <f>Applicants!C28</f>
        <v/>
      </c>
      <c r="N5" s="774"/>
      <c r="O5" s="774"/>
      <c r="P5" s="775"/>
      <c r="Q5" s="318"/>
      <c r="R5" s="776" t="s">
        <v>237</v>
      </c>
      <c r="S5" s="773"/>
      <c r="T5" s="316" t="str">
        <f>Applicants!B29</f>
        <v/>
      </c>
      <c r="U5" s="774" t="str">
        <f>Applicants!C29</f>
        <v/>
      </c>
      <c r="V5" s="774"/>
      <c r="W5" s="774"/>
      <c r="X5" s="775"/>
      <c r="Z5" s="776" t="s">
        <v>237</v>
      </c>
      <c r="AA5" s="773"/>
      <c r="AB5" s="316" t="str">
        <f>Applicants!B30</f>
        <v/>
      </c>
      <c r="AC5" s="774" t="str">
        <f>Applicants!C30</f>
        <v/>
      </c>
      <c r="AD5" s="774"/>
      <c r="AE5" s="774"/>
      <c r="AF5" s="775"/>
    </row>
    <row r="6" spans="1:33" ht="7.5" customHeight="1" thickBot="1" x14ac:dyDescent="0.25">
      <c r="A6" s="377"/>
      <c r="B6" s="320"/>
      <c r="C6" s="315"/>
      <c r="D6" s="315"/>
      <c r="E6" s="315"/>
      <c r="F6" s="315"/>
      <c r="G6" s="315"/>
      <c r="H6" s="315"/>
      <c r="I6" s="309"/>
      <c r="J6" s="321"/>
      <c r="K6" s="322"/>
      <c r="L6" s="322"/>
      <c r="M6" s="322"/>
      <c r="N6" s="323"/>
      <c r="O6" s="322"/>
      <c r="P6" s="322"/>
      <c r="Q6" s="324"/>
      <c r="R6" s="324"/>
      <c r="S6" s="324"/>
      <c r="T6" s="324"/>
      <c r="U6" s="324"/>
      <c r="V6" s="325"/>
      <c r="W6" s="324"/>
      <c r="X6" s="324"/>
      <c r="Z6" s="324"/>
      <c r="AA6" s="324"/>
      <c r="AB6" s="324"/>
      <c r="AC6" s="324"/>
      <c r="AD6" s="325"/>
      <c r="AE6" s="324"/>
      <c r="AF6" s="324"/>
    </row>
    <row r="7" spans="1:33" s="78" customFormat="1" ht="17.100000000000001" customHeight="1" x14ac:dyDescent="0.25">
      <c r="A7" s="324"/>
      <c r="B7" s="326" t="s">
        <v>238</v>
      </c>
      <c r="C7" s="327"/>
      <c r="D7" s="328" t="s">
        <v>239</v>
      </c>
      <c r="E7" s="328" t="s">
        <v>239</v>
      </c>
      <c r="F7" s="791" t="s">
        <v>240</v>
      </c>
      <c r="G7" s="328" t="s">
        <v>239</v>
      </c>
      <c r="H7" s="779" t="s">
        <v>240</v>
      </c>
      <c r="I7" s="309"/>
      <c r="J7" s="783" t="s">
        <v>241</v>
      </c>
      <c r="K7" s="784"/>
      <c r="L7" s="328" t="s">
        <v>239</v>
      </c>
      <c r="M7" s="328" t="s">
        <v>239</v>
      </c>
      <c r="N7" s="777" t="s">
        <v>240</v>
      </c>
      <c r="O7" s="328" t="s">
        <v>239</v>
      </c>
      <c r="P7" s="779" t="s">
        <v>240</v>
      </c>
      <c r="Q7" s="324"/>
      <c r="R7" s="783" t="s">
        <v>242</v>
      </c>
      <c r="S7" s="784"/>
      <c r="T7" s="328" t="s">
        <v>239</v>
      </c>
      <c r="U7" s="328" t="s">
        <v>239</v>
      </c>
      <c r="V7" s="777" t="s">
        <v>240</v>
      </c>
      <c r="W7" s="328" t="s">
        <v>239</v>
      </c>
      <c r="X7" s="779" t="s">
        <v>240</v>
      </c>
      <c r="Z7" s="783" t="s">
        <v>243</v>
      </c>
      <c r="AA7" s="784"/>
      <c r="AB7" s="328" t="s">
        <v>239</v>
      </c>
      <c r="AC7" s="328" t="s">
        <v>239</v>
      </c>
      <c r="AD7" s="777" t="s">
        <v>240</v>
      </c>
      <c r="AE7" s="328" t="s">
        <v>239</v>
      </c>
      <c r="AF7" s="779" t="s">
        <v>240</v>
      </c>
    </row>
    <row r="8" spans="1:33" s="78" customFormat="1" ht="17.100000000000001" customHeight="1" thickBot="1" x14ac:dyDescent="0.3">
      <c r="A8" s="324"/>
      <c r="B8" s="329"/>
      <c r="C8" s="330"/>
      <c r="D8" s="331">
        <f>'Partnership Profit &amp; Loss'!D8</f>
        <v>45473</v>
      </c>
      <c r="E8" s="331">
        <f>'Partnership Profit &amp; Loss'!E8</f>
        <v>45838</v>
      </c>
      <c r="F8" s="792"/>
      <c r="G8" s="331">
        <f>'Partnership Profit &amp; Loss'!G8</f>
        <v>46203</v>
      </c>
      <c r="H8" s="780"/>
      <c r="I8" s="309"/>
      <c r="J8" s="785"/>
      <c r="K8" s="786"/>
      <c r="L8" s="331">
        <f>D8</f>
        <v>45473</v>
      </c>
      <c r="M8" s="331">
        <f>E8</f>
        <v>45838</v>
      </c>
      <c r="N8" s="778"/>
      <c r="O8" s="331">
        <f>G8</f>
        <v>46203</v>
      </c>
      <c r="P8" s="780"/>
      <c r="Q8" s="324"/>
      <c r="R8" s="785"/>
      <c r="S8" s="786"/>
      <c r="T8" s="331">
        <f>L8</f>
        <v>45473</v>
      </c>
      <c r="U8" s="331">
        <f>M8</f>
        <v>45838</v>
      </c>
      <c r="V8" s="778"/>
      <c r="W8" s="331">
        <f>O8</f>
        <v>46203</v>
      </c>
      <c r="X8" s="780"/>
      <c r="Z8" s="785"/>
      <c r="AA8" s="786"/>
      <c r="AB8" s="331">
        <f>T8</f>
        <v>45473</v>
      </c>
      <c r="AC8" s="331">
        <f>U8</f>
        <v>45838</v>
      </c>
      <c r="AD8" s="778"/>
      <c r="AE8" s="331">
        <f>W8</f>
        <v>46203</v>
      </c>
      <c r="AF8" s="780"/>
    </row>
    <row r="9" spans="1:33" s="78" customFormat="1" ht="17.100000000000001" customHeight="1" x14ac:dyDescent="0.2">
      <c r="A9" s="324"/>
      <c r="B9" s="781"/>
      <c r="C9" s="782"/>
      <c r="D9" s="332"/>
      <c r="E9" s="333"/>
      <c r="F9" s="334"/>
      <c r="G9" s="333"/>
      <c r="H9" s="335"/>
      <c r="I9" s="309"/>
      <c r="J9" s="781"/>
      <c r="K9" s="782"/>
      <c r="L9" s="332"/>
      <c r="M9" s="333"/>
      <c r="N9" s="334"/>
      <c r="O9" s="333"/>
      <c r="P9" s="335"/>
      <c r="Q9" s="309"/>
      <c r="R9" s="781"/>
      <c r="S9" s="782"/>
      <c r="T9" s="332"/>
      <c r="U9" s="333"/>
      <c r="V9" s="334"/>
      <c r="W9" s="333"/>
      <c r="X9" s="335"/>
      <c r="Y9" s="309"/>
      <c r="Z9" s="781"/>
      <c r="AA9" s="782"/>
      <c r="AB9" s="332"/>
      <c r="AC9" s="333"/>
      <c r="AD9" s="334"/>
      <c r="AE9" s="333"/>
      <c r="AF9" s="335"/>
      <c r="AG9" s="309"/>
    </row>
    <row r="10" spans="1:33" s="78" customFormat="1" ht="17.100000000000001" customHeight="1" x14ac:dyDescent="0.2">
      <c r="A10" s="324"/>
      <c r="B10" s="787" t="s">
        <v>244</v>
      </c>
      <c r="C10" s="788"/>
      <c r="D10" s="336"/>
      <c r="E10" s="337"/>
      <c r="F10" s="338" t="str">
        <f>IF(D10=0,"NA",(E10-D10)/D10)</f>
        <v>NA</v>
      </c>
      <c r="G10" s="336"/>
      <c r="H10" s="339" t="str">
        <f>IF(E10=0,"NA",(G10-E10)/E10)</f>
        <v>NA</v>
      </c>
      <c r="I10" s="309"/>
      <c r="J10" s="787" t="s">
        <v>244</v>
      </c>
      <c r="K10" s="788"/>
      <c r="L10" s="336"/>
      <c r="M10" s="337"/>
      <c r="N10" s="338" t="str">
        <f>IF(L10=0, "NA", (M10-L10)/M10)</f>
        <v>NA</v>
      </c>
      <c r="O10" s="336"/>
      <c r="P10" s="339" t="str">
        <f>IF(M10=0,"NA",(O10-M10)/M10)</f>
        <v>NA</v>
      </c>
      <c r="Q10" s="309"/>
      <c r="R10" s="787" t="s">
        <v>244</v>
      </c>
      <c r="S10" s="788"/>
      <c r="T10" s="336"/>
      <c r="U10" s="337"/>
      <c r="V10" s="338" t="str">
        <f>IF(T10=0, "NA", (U10-T10)/T10)</f>
        <v>NA</v>
      </c>
      <c r="W10" s="336"/>
      <c r="X10" s="339" t="str">
        <f>IF(U10=0,"NA",(W10-U10)/U10)</f>
        <v>NA</v>
      </c>
      <c r="Y10" s="309"/>
      <c r="Z10" s="787" t="s">
        <v>244</v>
      </c>
      <c r="AA10" s="788"/>
      <c r="AB10" s="336"/>
      <c r="AC10" s="337"/>
      <c r="AD10" s="338" t="str">
        <f>IF(AB10=0, "NA", (AC10-AB10)/AB10)</f>
        <v>NA</v>
      </c>
      <c r="AE10" s="336"/>
      <c r="AF10" s="339" t="str">
        <f>IF(AC10=0,"NA",(AE10-AC10)/AC10)</f>
        <v>NA</v>
      </c>
      <c r="AG10" s="309"/>
    </row>
    <row r="11" spans="1:33" s="78" customFormat="1" ht="17.100000000000001" customHeight="1" x14ac:dyDescent="0.2">
      <c r="A11" s="324"/>
      <c r="B11" s="787"/>
      <c r="C11" s="788"/>
      <c r="D11" s="340"/>
      <c r="E11" s="341"/>
      <c r="F11" s="338"/>
      <c r="G11" s="340"/>
      <c r="H11" s="339"/>
      <c r="I11" s="309"/>
      <c r="J11" s="787"/>
      <c r="K11" s="788"/>
      <c r="L11" s="340"/>
      <c r="M11" s="341"/>
      <c r="N11" s="338"/>
      <c r="O11" s="340"/>
      <c r="P11" s="339"/>
      <c r="Q11" s="309"/>
      <c r="R11" s="787"/>
      <c r="S11" s="788"/>
      <c r="T11" s="340"/>
      <c r="U11" s="341"/>
      <c r="V11" s="338"/>
      <c r="W11" s="340"/>
      <c r="X11" s="339"/>
      <c r="Y11" s="309"/>
      <c r="Z11" s="787"/>
      <c r="AA11" s="788"/>
      <c r="AB11" s="340"/>
      <c r="AC11" s="341"/>
      <c r="AD11" s="338"/>
      <c r="AE11" s="340"/>
      <c r="AF11" s="339"/>
      <c r="AG11" s="309"/>
    </row>
    <row r="12" spans="1:33" s="78" customFormat="1" ht="17.100000000000001" customHeight="1" x14ac:dyDescent="0.2">
      <c r="A12" s="324"/>
      <c r="B12" s="342" t="s">
        <v>245</v>
      </c>
      <c r="C12" s="343"/>
      <c r="D12" s="340"/>
      <c r="E12" s="340"/>
      <c r="F12" s="344"/>
      <c r="G12" s="340"/>
      <c r="H12" s="339"/>
      <c r="I12" s="309"/>
      <c r="J12" s="345" t="s">
        <v>245</v>
      </c>
      <c r="K12" s="343"/>
      <c r="L12" s="340"/>
      <c r="M12" s="340"/>
      <c r="N12" s="344"/>
      <c r="O12" s="340"/>
      <c r="P12" s="339"/>
      <c r="Q12" s="309"/>
      <c r="R12" s="345" t="s">
        <v>245</v>
      </c>
      <c r="S12" s="343"/>
      <c r="T12" s="340"/>
      <c r="U12" s="340"/>
      <c r="V12" s="344"/>
      <c r="W12" s="340"/>
      <c r="X12" s="339"/>
      <c r="Y12" s="309"/>
      <c r="Z12" s="345" t="s">
        <v>245</v>
      </c>
      <c r="AA12" s="343"/>
      <c r="AB12" s="340"/>
      <c r="AC12" s="340"/>
      <c r="AD12" s="344"/>
      <c r="AE12" s="340"/>
      <c r="AF12" s="339"/>
      <c r="AG12" s="309"/>
    </row>
    <row r="13" spans="1:33" s="78" customFormat="1" ht="17.100000000000001" customHeight="1" x14ac:dyDescent="0.2">
      <c r="A13" s="324"/>
      <c r="B13" s="787" t="s">
        <v>246</v>
      </c>
      <c r="C13" s="788"/>
      <c r="D13" s="336"/>
      <c r="E13" s="337"/>
      <c r="F13" s="338" t="str">
        <f>IF(D13=0,"NA",(E13-D13)/D13)</f>
        <v>NA</v>
      </c>
      <c r="G13" s="336"/>
      <c r="H13" s="339" t="str">
        <f>IF(E13=0,"NA",(G13-E13)/E13)</f>
        <v>NA</v>
      </c>
      <c r="I13" s="309"/>
      <c r="J13" s="787" t="s">
        <v>246</v>
      </c>
      <c r="K13" s="788"/>
      <c r="L13" s="336"/>
      <c r="M13" s="337"/>
      <c r="N13" s="338" t="str">
        <f>IF(L13=0, "NA", (M13-L13)/M13)</f>
        <v>NA</v>
      </c>
      <c r="O13" s="336"/>
      <c r="P13" s="339" t="str">
        <f>IF(M13=0,"NA",(O13-M13)/M13)</f>
        <v>NA</v>
      </c>
      <c r="Q13" s="309"/>
      <c r="R13" s="787" t="s">
        <v>246</v>
      </c>
      <c r="S13" s="788"/>
      <c r="T13" s="336"/>
      <c r="U13" s="337"/>
      <c r="V13" s="338" t="str">
        <f>IF(T13=0, "NA", (U13-T13)/T13)</f>
        <v>NA</v>
      </c>
      <c r="W13" s="336"/>
      <c r="X13" s="339" t="str">
        <f>IF(U13=0,"NA",(W13-U13)/U13)</f>
        <v>NA</v>
      </c>
      <c r="Y13" s="309"/>
      <c r="Z13" s="787" t="s">
        <v>246</v>
      </c>
      <c r="AA13" s="788"/>
      <c r="AB13" s="336"/>
      <c r="AC13" s="337"/>
      <c r="AD13" s="338" t="str">
        <f>IF(AB13=0, "NA", (AC13-AB13)/AB13)</f>
        <v>NA</v>
      </c>
      <c r="AE13" s="336"/>
      <c r="AF13" s="339" t="str">
        <f>IF(AC13=0,"NA",(AE13-AC13)/AC13)</f>
        <v>NA</v>
      </c>
      <c r="AG13" s="309"/>
    </row>
    <row r="14" spans="1:33" s="78" customFormat="1" ht="17.100000000000001" customHeight="1" x14ac:dyDescent="0.2">
      <c r="A14" s="324"/>
      <c r="B14" s="787" t="s">
        <v>247</v>
      </c>
      <c r="C14" s="788"/>
      <c r="D14" s="336"/>
      <c r="E14" s="337"/>
      <c r="F14" s="338" t="str">
        <f>IF(D14=0,"NA",(E14-D14)/D14)</f>
        <v>NA</v>
      </c>
      <c r="G14" s="336"/>
      <c r="H14" s="339" t="str">
        <f>IF(E14=0,"NA",(G14-E14)/E14)</f>
        <v>NA</v>
      </c>
      <c r="I14" s="309"/>
      <c r="J14" s="787" t="s">
        <v>247</v>
      </c>
      <c r="K14" s="788"/>
      <c r="L14" s="336"/>
      <c r="M14" s="337"/>
      <c r="N14" s="338" t="str">
        <f>IF(L14=0, "NA", (M14-L14)/M14)</f>
        <v>NA</v>
      </c>
      <c r="O14" s="336"/>
      <c r="P14" s="339" t="str">
        <f>IF(M14=0,"NA",(O14-M14)/M14)</f>
        <v>NA</v>
      </c>
      <c r="Q14" s="309"/>
      <c r="R14" s="787" t="s">
        <v>247</v>
      </c>
      <c r="S14" s="788"/>
      <c r="T14" s="336"/>
      <c r="U14" s="337"/>
      <c r="V14" s="338" t="str">
        <f>IF(T14=0, "NA", (U14-T14)/T14)</f>
        <v>NA</v>
      </c>
      <c r="W14" s="336"/>
      <c r="X14" s="339" t="str">
        <f>IF(U14=0,"NA",(W14-U14)/U14)</f>
        <v>NA</v>
      </c>
      <c r="Y14" s="309"/>
      <c r="Z14" s="787" t="s">
        <v>247</v>
      </c>
      <c r="AA14" s="788"/>
      <c r="AB14" s="336"/>
      <c r="AC14" s="337"/>
      <c r="AD14" s="338" t="str">
        <f>IF(AB14=0, "NA", (AC14-AB14)/AB14)</f>
        <v>NA</v>
      </c>
      <c r="AE14" s="336"/>
      <c r="AF14" s="339" t="str">
        <f>IF(AC14=0,"NA",(AE14-AC14)/AC14)</f>
        <v>NA</v>
      </c>
      <c r="AG14" s="309"/>
    </row>
    <row r="15" spans="1:33" s="78" customFormat="1" ht="17.100000000000001" customHeight="1" x14ac:dyDescent="0.2">
      <c r="A15" s="324"/>
      <c r="B15" s="787" t="s">
        <v>248</v>
      </c>
      <c r="C15" s="788"/>
      <c r="D15" s="336"/>
      <c r="E15" s="337"/>
      <c r="F15" s="338" t="str">
        <f>IF(D15=0,"NA",(E15-D15)/D15)</f>
        <v>NA</v>
      </c>
      <c r="G15" s="336"/>
      <c r="H15" s="339" t="str">
        <f>IF(E15=0,"NA",(G15-E15)/E15)</f>
        <v>NA</v>
      </c>
      <c r="I15" s="309"/>
      <c r="J15" s="787" t="s">
        <v>248</v>
      </c>
      <c r="K15" s="788"/>
      <c r="L15" s="336"/>
      <c r="M15" s="337"/>
      <c r="N15" s="338" t="str">
        <f>IF(L15=0, "NA", (M15-L15)/M15)</f>
        <v>NA</v>
      </c>
      <c r="O15" s="336"/>
      <c r="P15" s="339" t="str">
        <f>IF(M15=0,"NA",(O15-M15)/M15)</f>
        <v>NA</v>
      </c>
      <c r="Q15" s="309"/>
      <c r="R15" s="787" t="s">
        <v>248</v>
      </c>
      <c r="S15" s="788"/>
      <c r="T15" s="336"/>
      <c r="U15" s="337"/>
      <c r="V15" s="338" t="str">
        <f>IF(T15=0, "NA", (U15-T15)/T15)</f>
        <v>NA</v>
      </c>
      <c r="W15" s="336"/>
      <c r="X15" s="339" t="str">
        <f>IF(U15=0,"NA",(W15-U15)/U15)</f>
        <v>NA</v>
      </c>
      <c r="Y15" s="309"/>
      <c r="Z15" s="787" t="s">
        <v>248</v>
      </c>
      <c r="AA15" s="788"/>
      <c r="AB15" s="336"/>
      <c r="AC15" s="337"/>
      <c r="AD15" s="338" t="str">
        <f>IF(AB15=0, "NA", (AC15-AB15)/AB15)</f>
        <v>NA</v>
      </c>
      <c r="AE15" s="336"/>
      <c r="AF15" s="339" t="str">
        <f>IF(AC15=0,"NA",(AE15-AC15)/AC15)</f>
        <v>NA</v>
      </c>
      <c r="AG15" s="309"/>
    </row>
    <row r="16" spans="1:33" s="78" customFormat="1" ht="17.100000000000001" customHeight="1" x14ac:dyDescent="0.2">
      <c r="A16" s="324"/>
      <c r="B16" s="787"/>
      <c r="C16" s="788"/>
      <c r="D16" s="340"/>
      <c r="E16" s="341"/>
      <c r="F16" s="338"/>
      <c r="G16" s="341"/>
      <c r="H16" s="339"/>
      <c r="I16" s="309"/>
      <c r="J16" s="787"/>
      <c r="K16" s="788"/>
      <c r="L16" s="340"/>
      <c r="M16" s="341"/>
      <c r="N16" s="338"/>
      <c r="O16" s="341"/>
      <c r="P16" s="339"/>
      <c r="Q16" s="309"/>
      <c r="R16" s="787"/>
      <c r="S16" s="788"/>
      <c r="T16" s="340"/>
      <c r="U16" s="341"/>
      <c r="V16" s="338"/>
      <c r="W16" s="341"/>
      <c r="X16" s="339"/>
      <c r="Y16" s="309"/>
      <c r="Z16" s="787"/>
      <c r="AA16" s="788"/>
      <c r="AB16" s="340"/>
      <c r="AC16" s="341"/>
      <c r="AD16" s="338"/>
      <c r="AE16" s="341"/>
      <c r="AF16" s="339"/>
      <c r="AG16" s="309"/>
    </row>
    <row r="17" spans="1:33" s="78" customFormat="1" ht="17.100000000000001" customHeight="1" x14ac:dyDescent="0.2">
      <c r="A17" s="324"/>
      <c r="B17" s="781" t="s">
        <v>249</v>
      </c>
      <c r="C17" s="782"/>
      <c r="D17" s="346">
        <f>+D10-D13-D14-D15</f>
        <v>0</v>
      </c>
      <c r="E17" s="346">
        <f>+E10-E13-E14-E15</f>
        <v>0</v>
      </c>
      <c r="F17" s="334" t="str">
        <f>IF(D17=0,"NA",(E17-D17)/D17)</f>
        <v>NA</v>
      </c>
      <c r="G17" s="346">
        <f>+G10-G13-G14-G15</f>
        <v>0</v>
      </c>
      <c r="H17" s="347" t="str">
        <f>IF(E17=0,"NA",(G17-E17)/E17)</f>
        <v>NA</v>
      </c>
      <c r="I17" s="309"/>
      <c r="J17" s="781" t="s">
        <v>249</v>
      </c>
      <c r="K17" s="782"/>
      <c r="L17" s="346">
        <f>+L10-L13-L14-L15</f>
        <v>0</v>
      </c>
      <c r="M17" s="346">
        <f>+M10-M13-M14-M15</f>
        <v>0</v>
      </c>
      <c r="N17" s="334" t="str">
        <f>IF(L17=0, "NA", (M17-L17)/M17)</f>
        <v>NA</v>
      </c>
      <c r="O17" s="346">
        <f>+O10-O13-O14-O15</f>
        <v>0</v>
      </c>
      <c r="P17" s="347" t="str">
        <f>IF(M17=0,"NA",(O17-M17)/M17)</f>
        <v>NA</v>
      </c>
      <c r="Q17" s="309"/>
      <c r="R17" s="781" t="s">
        <v>249</v>
      </c>
      <c r="S17" s="782"/>
      <c r="T17" s="346">
        <f>+T10-T13-T14-T15</f>
        <v>0</v>
      </c>
      <c r="U17" s="346">
        <f>+U10-U13-U14-U15</f>
        <v>0</v>
      </c>
      <c r="V17" s="334" t="str">
        <f>IF(T17=0, "NA", (U17-T17)/T17)</f>
        <v>NA</v>
      </c>
      <c r="W17" s="346">
        <f>+W10-W13-W14-W15</f>
        <v>0</v>
      </c>
      <c r="X17" s="347" t="str">
        <f>IF(U17=0,"NA",(W17-U17)/U17)</f>
        <v>NA</v>
      </c>
      <c r="Y17" s="309"/>
      <c r="Z17" s="781" t="s">
        <v>249</v>
      </c>
      <c r="AA17" s="782"/>
      <c r="AB17" s="346">
        <f>+AB10-AB13-AB14-AB15</f>
        <v>0</v>
      </c>
      <c r="AC17" s="346">
        <f>+AC10-AC13-AC14-AC15</f>
        <v>0</v>
      </c>
      <c r="AD17" s="334" t="str">
        <f>IF(AB17=0, "NA", (AC17-AB17)/AB17)</f>
        <v>NA</v>
      </c>
      <c r="AE17" s="346">
        <f>+AE10-AE13-AE14-AE15</f>
        <v>0</v>
      </c>
      <c r="AF17" s="347" t="str">
        <f>IF(AC17=0,"NA",(AE17-AC17)/AC17)</f>
        <v>NA</v>
      </c>
      <c r="AG17" s="309"/>
    </row>
    <row r="18" spans="1:33" s="78" customFormat="1" ht="17.100000000000001" customHeight="1" x14ac:dyDescent="0.2">
      <c r="A18" s="324"/>
      <c r="B18" s="787"/>
      <c r="C18" s="788"/>
      <c r="D18" s="340"/>
      <c r="E18" s="341"/>
      <c r="F18" s="338"/>
      <c r="G18" s="341"/>
      <c r="H18" s="339"/>
      <c r="I18" s="309"/>
      <c r="J18" s="787"/>
      <c r="K18" s="788"/>
      <c r="L18" s="340"/>
      <c r="M18" s="341"/>
      <c r="N18" s="338"/>
      <c r="O18" s="341"/>
      <c r="P18" s="339"/>
      <c r="Q18" s="309"/>
      <c r="R18" s="787"/>
      <c r="S18" s="788"/>
      <c r="T18" s="340"/>
      <c r="U18" s="341"/>
      <c r="V18" s="338"/>
      <c r="W18" s="341"/>
      <c r="X18" s="339"/>
      <c r="Y18" s="309"/>
      <c r="Z18" s="787"/>
      <c r="AA18" s="788"/>
      <c r="AB18" s="340"/>
      <c r="AC18" s="341"/>
      <c r="AD18" s="338"/>
      <c r="AE18" s="341"/>
      <c r="AF18" s="339"/>
      <c r="AG18" s="309"/>
    </row>
    <row r="19" spans="1:33" s="78" customFormat="1" ht="17.100000000000001" customHeight="1" x14ac:dyDescent="0.2">
      <c r="A19" s="324"/>
      <c r="B19" s="787" t="s">
        <v>250</v>
      </c>
      <c r="C19" s="788"/>
      <c r="D19" s="336"/>
      <c r="E19" s="336"/>
      <c r="F19" s="338" t="str">
        <f>IF(D19=0,"NA",(E19-D19)/D19)</f>
        <v>NA</v>
      </c>
      <c r="G19" s="336"/>
      <c r="H19" s="339" t="str">
        <f>IF(E19=0,"NA",(G19-E19)/E19)</f>
        <v>NA</v>
      </c>
      <c r="I19" s="309"/>
      <c r="J19" s="787" t="s">
        <v>250</v>
      </c>
      <c r="K19" s="788"/>
      <c r="L19" s="336"/>
      <c r="M19" s="336"/>
      <c r="N19" s="338" t="str">
        <f>IF(L19=0, "NA", (M19-L19)/M19)</f>
        <v>NA</v>
      </c>
      <c r="O19" s="336"/>
      <c r="P19" s="339" t="str">
        <f>IF(M19=0,"NA",(O19-M19)/M19)</f>
        <v>NA</v>
      </c>
      <c r="Q19" s="309"/>
      <c r="R19" s="787" t="s">
        <v>250</v>
      </c>
      <c r="S19" s="788"/>
      <c r="T19" s="336"/>
      <c r="U19" s="336"/>
      <c r="V19" s="338" t="str">
        <f>IF(T19=0, "NA", (U19-T19)/T19)</f>
        <v>NA</v>
      </c>
      <c r="W19" s="336"/>
      <c r="X19" s="339" t="str">
        <f>IF(U19=0,"NA",(W19-U19)/U19)</f>
        <v>NA</v>
      </c>
      <c r="Y19" s="309"/>
      <c r="Z19" s="787" t="s">
        <v>250</v>
      </c>
      <c r="AA19" s="788"/>
      <c r="AB19" s="336"/>
      <c r="AC19" s="336"/>
      <c r="AD19" s="338" t="str">
        <f>IF(AB19=0, "NA", (AC19-AB19)/AB19)</f>
        <v>NA</v>
      </c>
      <c r="AE19" s="336"/>
      <c r="AF19" s="339" t="str">
        <f>IF(AC19=0,"NA",(AE19-AC19)/AC19)</f>
        <v>NA</v>
      </c>
      <c r="AG19" s="309"/>
    </row>
    <row r="20" spans="1:33" s="78" customFormat="1" ht="17.100000000000001" customHeight="1" x14ac:dyDescent="0.2">
      <c r="A20" s="324"/>
      <c r="B20" s="787"/>
      <c r="C20" s="788"/>
      <c r="D20" s="340"/>
      <c r="E20" s="341"/>
      <c r="F20" s="338"/>
      <c r="G20" s="341"/>
      <c r="H20" s="339"/>
      <c r="I20" s="309"/>
      <c r="J20" s="787"/>
      <c r="K20" s="788"/>
      <c r="L20" s="340"/>
      <c r="M20" s="341"/>
      <c r="N20" s="338"/>
      <c r="O20" s="341"/>
      <c r="P20" s="339"/>
      <c r="Q20" s="309"/>
      <c r="R20" s="787"/>
      <c r="S20" s="788"/>
      <c r="T20" s="340"/>
      <c r="U20" s="341"/>
      <c r="V20" s="338"/>
      <c r="W20" s="341"/>
      <c r="X20" s="339"/>
      <c r="Y20" s="309"/>
      <c r="Z20" s="787"/>
      <c r="AA20" s="788"/>
      <c r="AB20" s="340"/>
      <c r="AC20" s="341"/>
      <c r="AD20" s="338"/>
      <c r="AE20" s="341"/>
      <c r="AF20" s="339"/>
      <c r="AG20" s="309"/>
    </row>
    <row r="21" spans="1:33" s="78" customFormat="1" ht="17.100000000000001" customHeight="1" x14ac:dyDescent="0.2">
      <c r="A21" s="324"/>
      <c r="B21" s="781" t="s">
        <v>251</v>
      </c>
      <c r="C21" s="782"/>
      <c r="D21" s="346">
        <f>+D17-D19</f>
        <v>0</v>
      </c>
      <c r="E21" s="346">
        <f>+E17-E19</f>
        <v>0</v>
      </c>
      <c r="F21" s="334" t="str">
        <f>IF(D21=0,"NA",(E21-D21)/D21)</f>
        <v>NA</v>
      </c>
      <c r="G21" s="346">
        <f>+G17-G19</f>
        <v>0</v>
      </c>
      <c r="H21" s="347" t="str">
        <f>IF(E21=0,"NA",(G21-E21)/E21)</f>
        <v>NA</v>
      </c>
      <c r="I21" s="309"/>
      <c r="J21" s="781" t="s">
        <v>251</v>
      </c>
      <c r="K21" s="782"/>
      <c r="L21" s="346">
        <f>+L17-L19</f>
        <v>0</v>
      </c>
      <c r="M21" s="346">
        <f>+M17-M19</f>
        <v>0</v>
      </c>
      <c r="N21" s="334" t="str">
        <f>IF(L21=0, "NA", (M21-L21)/M21)</f>
        <v>NA</v>
      </c>
      <c r="O21" s="346">
        <f>+O17-O19</f>
        <v>0</v>
      </c>
      <c r="P21" s="347" t="str">
        <f>IF(M21=0,"NA",(O21-M21)/M21)</f>
        <v>NA</v>
      </c>
      <c r="Q21" s="309"/>
      <c r="R21" s="781" t="s">
        <v>251</v>
      </c>
      <c r="S21" s="782"/>
      <c r="T21" s="346">
        <f>+T17-T19</f>
        <v>0</v>
      </c>
      <c r="U21" s="346">
        <f>+U17-U19</f>
        <v>0</v>
      </c>
      <c r="V21" s="334" t="str">
        <f>IF(T21=0, "NA", (U21-T21)/T21)</f>
        <v>NA</v>
      </c>
      <c r="W21" s="346">
        <f>+W17-W19</f>
        <v>0</v>
      </c>
      <c r="X21" s="347" t="str">
        <f>IF(U21=0,"NA",(W21-U21)/U21)</f>
        <v>NA</v>
      </c>
      <c r="Y21" s="309"/>
      <c r="Z21" s="781" t="s">
        <v>251</v>
      </c>
      <c r="AA21" s="782"/>
      <c r="AB21" s="346">
        <f>+AB17-AB19</f>
        <v>0</v>
      </c>
      <c r="AC21" s="346">
        <f>+AC17-AC19</f>
        <v>0</v>
      </c>
      <c r="AD21" s="334" t="str">
        <f>IF(AB21=0, "NA", (AC21-AB21)/AB21)</f>
        <v>NA</v>
      </c>
      <c r="AE21" s="346">
        <f>+AE17-AE19</f>
        <v>0</v>
      </c>
      <c r="AF21" s="347" t="str">
        <f>IF(AC21=0,"NA",(AE21-AC21)/AC21)</f>
        <v>NA</v>
      </c>
      <c r="AG21" s="309"/>
    </row>
    <row r="22" spans="1:33" s="78" customFormat="1" ht="17.100000000000001" customHeight="1" x14ac:dyDescent="0.2">
      <c r="A22" s="324"/>
      <c r="B22" s="787"/>
      <c r="C22" s="788"/>
      <c r="D22" s="340"/>
      <c r="E22" s="341"/>
      <c r="F22" s="338"/>
      <c r="G22" s="341"/>
      <c r="H22" s="339"/>
      <c r="I22" s="309"/>
      <c r="J22" s="787"/>
      <c r="K22" s="788"/>
      <c r="L22" s="340"/>
      <c r="M22" s="341"/>
      <c r="N22" s="338"/>
      <c r="O22" s="341"/>
      <c r="P22" s="339"/>
      <c r="Q22" s="309"/>
      <c r="R22" s="787"/>
      <c r="S22" s="788"/>
      <c r="T22" s="340"/>
      <c r="U22" s="341"/>
      <c r="V22" s="338"/>
      <c r="W22" s="341"/>
      <c r="X22" s="339"/>
      <c r="Y22" s="309"/>
      <c r="Z22" s="787"/>
      <c r="AA22" s="788"/>
      <c r="AB22" s="340"/>
      <c r="AC22" s="341"/>
      <c r="AD22" s="338"/>
      <c r="AE22" s="341"/>
      <c r="AF22" s="339"/>
      <c r="AG22" s="309"/>
    </row>
    <row r="23" spans="1:33" s="78" customFormat="1" ht="17.100000000000001" customHeight="1" x14ac:dyDescent="0.2">
      <c r="A23" s="324"/>
      <c r="B23" s="348" t="s">
        <v>252</v>
      </c>
      <c r="C23" s="349"/>
      <c r="D23" s="340"/>
      <c r="E23" s="341"/>
      <c r="F23" s="338"/>
      <c r="G23" s="341"/>
      <c r="H23" s="339"/>
      <c r="I23" s="309"/>
      <c r="J23" s="348" t="s">
        <v>252</v>
      </c>
      <c r="K23" s="349"/>
      <c r="L23" s="340"/>
      <c r="M23" s="341"/>
      <c r="N23" s="338"/>
      <c r="O23" s="341"/>
      <c r="P23" s="339"/>
      <c r="Q23" s="309"/>
      <c r="R23" s="348" t="s">
        <v>252</v>
      </c>
      <c r="S23" s="349"/>
      <c r="T23" s="340"/>
      <c r="U23" s="341"/>
      <c r="V23" s="338"/>
      <c r="W23" s="341"/>
      <c r="X23" s="339"/>
      <c r="Y23" s="309"/>
      <c r="Z23" s="348" t="s">
        <v>252</v>
      </c>
      <c r="AA23" s="349"/>
      <c r="AB23" s="340"/>
      <c r="AC23" s="341"/>
      <c r="AD23" s="338"/>
      <c r="AE23" s="341"/>
      <c r="AF23" s="339"/>
      <c r="AG23" s="309"/>
    </row>
    <row r="24" spans="1:33" s="78" customFormat="1" ht="17.100000000000001" customHeight="1" x14ac:dyDescent="0.2">
      <c r="A24" s="324"/>
      <c r="B24" s="787" t="s">
        <v>24</v>
      </c>
      <c r="C24" s="788"/>
      <c r="D24" s="336"/>
      <c r="E24" s="336"/>
      <c r="F24" s="338" t="str">
        <f t="shared" ref="F24:F29" si="0">IF(D24=0,"NA",(E24-D24)/D24)</f>
        <v>NA</v>
      </c>
      <c r="G24" s="336"/>
      <c r="H24" s="339" t="str">
        <f t="shared" ref="H24:H29" si="1">IF(E24=0,"NA",(G24-E24)/E24)</f>
        <v>NA</v>
      </c>
      <c r="I24" s="309"/>
      <c r="J24" s="787" t="s">
        <v>24</v>
      </c>
      <c r="K24" s="788"/>
      <c r="L24" s="336"/>
      <c r="M24" s="336"/>
      <c r="N24" s="338" t="str">
        <f t="shared" ref="N24:N29" si="2">IF(L24=0, "NA", (M24-L24)/M24)</f>
        <v>NA</v>
      </c>
      <c r="O24" s="336"/>
      <c r="P24" s="339" t="str">
        <f t="shared" ref="P24:P29" si="3">IF(M24=0,"NA",(O24-M24)/M24)</f>
        <v>NA</v>
      </c>
      <c r="Q24" s="309"/>
      <c r="R24" s="787" t="s">
        <v>24</v>
      </c>
      <c r="S24" s="788"/>
      <c r="T24" s="336"/>
      <c r="U24" s="336"/>
      <c r="V24" s="338" t="str">
        <f t="shared" ref="V24:V29" si="4">IF(T24=0, "NA", (U24-T24)/T24)</f>
        <v>NA</v>
      </c>
      <c r="W24" s="336"/>
      <c r="X24" s="339" t="str">
        <f t="shared" ref="X24:X29" si="5">IF(U24=0,"NA",(W24-U24)/U24)</f>
        <v>NA</v>
      </c>
      <c r="Y24" s="309"/>
      <c r="Z24" s="787" t="s">
        <v>24</v>
      </c>
      <c r="AA24" s="788"/>
      <c r="AB24" s="336"/>
      <c r="AC24" s="336"/>
      <c r="AD24" s="338" t="str">
        <f t="shared" ref="AD24:AD29" si="6">IF(AB24=0, "NA", (AC24-AB24)/AB24)</f>
        <v>NA</v>
      </c>
      <c r="AE24" s="336"/>
      <c r="AF24" s="339" t="str">
        <f t="shared" ref="AF24:AF29" si="7">IF(AC24=0,"NA",(AE24-AC24)/AC24)</f>
        <v>NA</v>
      </c>
      <c r="AG24" s="309"/>
    </row>
    <row r="25" spans="1:33" s="78" customFormat="1" ht="17.100000000000001" customHeight="1" x14ac:dyDescent="0.2">
      <c r="A25" s="324"/>
      <c r="B25" s="787" t="s">
        <v>0</v>
      </c>
      <c r="C25" s="788"/>
      <c r="D25" s="336"/>
      <c r="E25" s="336"/>
      <c r="F25" s="338" t="str">
        <f t="shared" si="0"/>
        <v>NA</v>
      </c>
      <c r="G25" s="336"/>
      <c r="H25" s="339" t="str">
        <f t="shared" si="1"/>
        <v>NA</v>
      </c>
      <c r="I25" s="309"/>
      <c r="J25" s="787" t="s">
        <v>0</v>
      </c>
      <c r="K25" s="788"/>
      <c r="L25" s="336"/>
      <c r="M25" s="336"/>
      <c r="N25" s="338" t="str">
        <f t="shared" si="2"/>
        <v>NA</v>
      </c>
      <c r="O25" s="336"/>
      <c r="P25" s="339" t="str">
        <f t="shared" si="3"/>
        <v>NA</v>
      </c>
      <c r="Q25" s="309"/>
      <c r="R25" s="787" t="s">
        <v>0</v>
      </c>
      <c r="S25" s="788"/>
      <c r="T25" s="336"/>
      <c r="U25" s="336"/>
      <c r="V25" s="338" t="str">
        <f t="shared" si="4"/>
        <v>NA</v>
      </c>
      <c r="W25" s="336"/>
      <c r="X25" s="339" t="str">
        <f t="shared" si="5"/>
        <v>NA</v>
      </c>
      <c r="Y25" s="309"/>
      <c r="Z25" s="787" t="s">
        <v>0</v>
      </c>
      <c r="AA25" s="788"/>
      <c r="AB25" s="336"/>
      <c r="AC25" s="336"/>
      <c r="AD25" s="338" t="str">
        <f t="shared" si="6"/>
        <v>NA</v>
      </c>
      <c r="AE25" s="336"/>
      <c r="AF25" s="339" t="str">
        <f t="shared" si="7"/>
        <v>NA</v>
      </c>
      <c r="AG25" s="309"/>
    </row>
    <row r="26" spans="1:33" s="78" customFormat="1" ht="17.100000000000001" customHeight="1" x14ac:dyDescent="0.2">
      <c r="A26" s="324"/>
      <c r="B26" s="787" t="s">
        <v>253</v>
      </c>
      <c r="C26" s="788"/>
      <c r="D26" s="336"/>
      <c r="E26" s="336"/>
      <c r="F26" s="338" t="str">
        <f t="shared" si="0"/>
        <v>NA</v>
      </c>
      <c r="G26" s="336"/>
      <c r="H26" s="339" t="str">
        <f t="shared" si="1"/>
        <v>NA</v>
      </c>
      <c r="I26" s="309"/>
      <c r="J26" s="787" t="s">
        <v>253</v>
      </c>
      <c r="K26" s="788"/>
      <c r="L26" s="336"/>
      <c r="M26" s="336"/>
      <c r="N26" s="338" t="str">
        <f t="shared" si="2"/>
        <v>NA</v>
      </c>
      <c r="O26" s="336"/>
      <c r="P26" s="339" t="str">
        <f t="shared" si="3"/>
        <v>NA</v>
      </c>
      <c r="Q26" s="309"/>
      <c r="R26" s="787" t="s">
        <v>253</v>
      </c>
      <c r="S26" s="788"/>
      <c r="T26" s="336"/>
      <c r="U26" s="336"/>
      <c r="V26" s="338" t="str">
        <f t="shared" si="4"/>
        <v>NA</v>
      </c>
      <c r="W26" s="336"/>
      <c r="X26" s="339" t="str">
        <f t="shared" si="5"/>
        <v>NA</v>
      </c>
      <c r="Y26" s="309"/>
      <c r="Z26" s="787" t="s">
        <v>253</v>
      </c>
      <c r="AA26" s="788"/>
      <c r="AB26" s="336"/>
      <c r="AC26" s="336"/>
      <c r="AD26" s="338" t="str">
        <f t="shared" si="6"/>
        <v>NA</v>
      </c>
      <c r="AE26" s="336"/>
      <c r="AF26" s="339" t="str">
        <f t="shared" si="7"/>
        <v>NA</v>
      </c>
      <c r="AG26" s="309"/>
    </row>
    <row r="27" spans="1:33" s="78" customFormat="1" ht="17.100000000000001" customHeight="1" x14ac:dyDescent="0.2">
      <c r="A27" s="324"/>
      <c r="B27" s="787" t="s">
        <v>254</v>
      </c>
      <c r="C27" s="788"/>
      <c r="D27" s="336"/>
      <c r="E27" s="336"/>
      <c r="F27" s="338" t="str">
        <f t="shared" si="0"/>
        <v>NA</v>
      </c>
      <c r="G27" s="336"/>
      <c r="H27" s="339" t="str">
        <f t="shared" si="1"/>
        <v>NA</v>
      </c>
      <c r="I27" s="309"/>
      <c r="J27" s="787" t="s">
        <v>254</v>
      </c>
      <c r="K27" s="788"/>
      <c r="L27" s="336"/>
      <c r="M27" s="336"/>
      <c r="N27" s="338" t="str">
        <f t="shared" si="2"/>
        <v>NA</v>
      </c>
      <c r="O27" s="336"/>
      <c r="P27" s="339" t="str">
        <f t="shared" si="3"/>
        <v>NA</v>
      </c>
      <c r="Q27" s="309"/>
      <c r="R27" s="787" t="s">
        <v>254</v>
      </c>
      <c r="S27" s="788"/>
      <c r="T27" s="336"/>
      <c r="U27" s="336"/>
      <c r="V27" s="338" t="str">
        <f t="shared" si="4"/>
        <v>NA</v>
      </c>
      <c r="W27" s="336"/>
      <c r="X27" s="339" t="str">
        <f t="shared" si="5"/>
        <v>NA</v>
      </c>
      <c r="Y27" s="309"/>
      <c r="Z27" s="787" t="s">
        <v>254</v>
      </c>
      <c r="AA27" s="788"/>
      <c r="AB27" s="336"/>
      <c r="AC27" s="336"/>
      <c r="AD27" s="338" t="str">
        <f t="shared" si="6"/>
        <v>NA</v>
      </c>
      <c r="AE27" s="336"/>
      <c r="AF27" s="339" t="str">
        <f t="shared" si="7"/>
        <v>NA</v>
      </c>
      <c r="AG27" s="309"/>
    </row>
    <row r="28" spans="1:33" s="78" customFormat="1" ht="17.100000000000001" customHeight="1" x14ac:dyDescent="0.2">
      <c r="A28" s="324"/>
      <c r="B28" s="787" t="s">
        <v>255</v>
      </c>
      <c r="C28" s="788"/>
      <c r="D28" s="336"/>
      <c r="E28" s="336"/>
      <c r="F28" s="338" t="str">
        <f t="shared" si="0"/>
        <v>NA</v>
      </c>
      <c r="G28" s="336"/>
      <c r="H28" s="339" t="str">
        <f t="shared" si="1"/>
        <v>NA</v>
      </c>
      <c r="I28" s="309"/>
      <c r="J28" s="787" t="s">
        <v>255</v>
      </c>
      <c r="K28" s="788"/>
      <c r="L28" s="336"/>
      <c r="M28" s="336"/>
      <c r="N28" s="338" t="str">
        <f t="shared" si="2"/>
        <v>NA</v>
      </c>
      <c r="O28" s="336"/>
      <c r="P28" s="339" t="str">
        <f t="shared" si="3"/>
        <v>NA</v>
      </c>
      <c r="Q28" s="309"/>
      <c r="R28" s="787" t="s">
        <v>255</v>
      </c>
      <c r="S28" s="788"/>
      <c r="T28" s="336"/>
      <c r="U28" s="336"/>
      <c r="V28" s="338" t="str">
        <f t="shared" si="4"/>
        <v>NA</v>
      </c>
      <c r="W28" s="336"/>
      <c r="X28" s="339" t="str">
        <f t="shared" si="5"/>
        <v>NA</v>
      </c>
      <c r="Y28" s="309"/>
      <c r="Z28" s="787" t="s">
        <v>255</v>
      </c>
      <c r="AA28" s="788"/>
      <c r="AB28" s="336"/>
      <c r="AC28" s="336"/>
      <c r="AD28" s="338" t="str">
        <f t="shared" si="6"/>
        <v>NA</v>
      </c>
      <c r="AE28" s="336"/>
      <c r="AF28" s="339" t="str">
        <f t="shared" si="7"/>
        <v>NA</v>
      </c>
      <c r="AG28" s="309"/>
    </row>
    <row r="29" spans="1:33" s="78" customFormat="1" ht="17.100000000000001" customHeight="1" x14ac:dyDescent="0.2">
      <c r="A29" s="324"/>
      <c r="B29" s="787" t="s">
        <v>248</v>
      </c>
      <c r="C29" s="788"/>
      <c r="D29" s="336"/>
      <c r="E29" s="336"/>
      <c r="F29" s="338" t="str">
        <f t="shared" si="0"/>
        <v>NA</v>
      </c>
      <c r="G29" s="336"/>
      <c r="H29" s="339" t="str">
        <f t="shared" si="1"/>
        <v>NA</v>
      </c>
      <c r="I29" s="309"/>
      <c r="J29" s="787" t="s">
        <v>248</v>
      </c>
      <c r="K29" s="788"/>
      <c r="L29" s="336"/>
      <c r="M29" s="336"/>
      <c r="N29" s="338" t="str">
        <f t="shared" si="2"/>
        <v>NA</v>
      </c>
      <c r="O29" s="336"/>
      <c r="P29" s="339" t="str">
        <f t="shared" si="3"/>
        <v>NA</v>
      </c>
      <c r="Q29" s="309"/>
      <c r="R29" s="787" t="s">
        <v>248</v>
      </c>
      <c r="S29" s="788"/>
      <c r="T29" s="336"/>
      <c r="U29" s="336"/>
      <c r="V29" s="338" t="str">
        <f t="shared" si="4"/>
        <v>NA</v>
      </c>
      <c r="W29" s="336"/>
      <c r="X29" s="339" t="str">
        <f t="shared" si="5"/>
        <v>NA</v>
      </c>
      <c r="Y29" s="309"/>
      <c r="Z29" s="787" t="s">
        <v>248</v>
      </c>
      <c r="AA29" s="788"/>
      <c r="AB29" s="336"/>
      <c r="AC29" s="336"/>
      <c r="AD29" s="338" t="str">
        <f t="shared" si="6"/>
        <v>NA</v>
      </c>
      <c r="AE29" s="336"/>
      <c r="AF29" s="339" t="str">
        <f t="shared" si="7"/>
        <v>NA</v>
      </c>
      <c r="AG29" s="309"/>
    </row>
    <row r="30" spans="1:33" s="78" customFormat="1" ht="17.100000000000001" customHeight="1" x14ac:dyDescent="0.2">
      <c r="A30" s="324"/>
      <c r="B30" s="787"/>
      <c r="C30" s="788"/>
      <c r="D30" s="340"/>
      <c r="E30" s="341"/>
      <c r="F30" s="338"/>
      <c r="G30" s="341"/>
      <c r="H30" s="339"/>
      <c r="I30" s="309"/>
      <c r="J30" s="787"/>
      <c r="K30" s="788"/>
      <c r="L30" s="340"/>
      <c r="M30" s="341"/>
      <c r="N30" s="338"/>
      <c r="O30" s="341"/>
      <c r="P30" s="339"/>
      <c r="Q30" s="309"/>
      <c r="R30" s="787"/>
      <c r="S30" s="788"/>
      <c r="T30" s="340"/>
      <c r="U30" s="341"/>
      <c r="V30" s="338"/>
      <c r="W30" s="341"/>
      <c r="X30" s="339"/>
      <c r="Y30" s="309"/>
      <c r="Z30" s="787"/>
      <c r="AA30" s="788"/>
      <c r="AB30" s="340"/>
      <c r="AC30" s="341"/>
      <c r="AD30" s="338"/>
      <c r="AE30" s="341"/>
      <c r="AF30" s="339"/>
      <c r="AG30" s="309"/>
    </row>
    <row r="31" spans="1:33" s="78" customFormat="1" ht="17.100000000000001" customHeight="1" x14ac:dyDescent="0.2">
      <c r="A31" s="324"/>
      <c r="B31" s="781" t="s">
        <v>256</v>
      </c>
      <c r="C31" s="782"/>
      <c r="D31" s="346">
        <f>+D21+D24+D25+D26+D27+D28+D29</f>
        <v>0</v>
      </c>
      <c r="E31" s="346">
        <f>+E21+E24+E25+E26+E27+E28+E29</f>
        <v>0</v>
      </c>
      <c r="F31" s="334" t="str">
        <f>IF(D31=0,"NA",(E31-D31)/D31)</f>
        <v>NA</v>
      </c>
      <c r="G31" s="346">
        <f>+G21+G24+G25+G26+G27+G28+G29</f>
        <v>0</v>
      </c>
      <c r="H31" s="347" t="str">
        <f>IF(E31=0,"NA",(G31-E31)/E31)</f>
        <v>NA</v>
      </c>
      <c r="I31" s="309"/>
      <c r="J31" s="781" t="s">
        <v>256</v>
      </c>
      <c r="K31" s="782"/>
      <c r="L31" s="346">
        <f>+L21+L24+L25+L26+L27+L28+L29</f>
        <v>0</v>
      </c>
      <c r="M31" s="346">
        <f>+M21+M24+M25+M26+M27+M28+M29</f>
        <v>0</v>
      </c>
      <c r="N31" s="334" t="str">
        <f>IF(L31=0, "NA", (M31-L31)/M31)</f>
        <v>NA</v>
      </c>
      <c r="O31" s="346">
        <f>+O21+O24+O25+O26+O27+O28+O29</f>
        <v>0</v>
      </c>
      <c r="P31" s="347" t="str">
        <f>IF(M31=0,"NA",(O31-M31)/M31)</f>
        <v>NA</v>
      </c>
      <c r="Q31" s="309"/>
      <c r="R31" s="781" t="s">
        <v>256</v>
      </c>
      <c r="S31" s="782"/>
      <c r="T31" s="346">
        <f>+T21+T24+T25+T26+T27+T28+T29</f>
        <v>0</v>
      </c>
      <c r="U31" s="346">
        <f>+U21+U24+U25+U26+U27+U28+U29</f>
        <v>0</v>
      </c>
      <c r="V31" s="334" t="str">
        <f>IF(T31=0, "NA", (U31-T31)/T31)</f>
        <v>NA</v>
      </c>
      <c r="W31" s="346">
        <f>+W21+W24+W25+W26+W27+W28+W29</f>
        <v>0</v>
      </c>
      <c r="X31" s="347" t="str">
        <f>IF(U31=0,"NA",(W31-U31)/U31)</f>
        <v>NA</v>
      </c>
      <c r="Y31" s="309"/>
      <c r="Z31" s="781" t="s">
        <v>256</v>
      </c>
      <c r="AA31" s="782"/>
      <c r="AB31" s="346">
        <f>+AB21+AB24+AB25+AB26+AB27+AB28+AB29</f>
        <v>0</v>
      </c>
      <c r="AC31" s="346">
        <f>+AC21+AC24+AC25+AC26+AC27+AC28+AC29</f>
        <v>0</v>
      </c>
      <c r="AD31" s="334" t="str">
        <f>IF(AB31=0, "NA", (AC31-AB31)/AB31)</f>
        <v>NA</v>
      </c>
      <c r="AE31" s="346">
        <f>+AE21+AE24+AE25+AE26+AE27+AE28+AE29</f>
        <v>0</v>
      </c>
      <c r="AF31" s="347" t="str">
        <f>IF(AC31=0,"NA",(AE31-AC31)/AC31)</f>
        <v>NA</v>
      </c>
      <c r="AG31" s="309"/>
    </row>
    <row r="32" spans="1:33" s="78" customFormat="1" ht="17.100000000000001" customHeight="1" x14ac:dyDescent="0.2">
      <c r="A32" s="324"/>
      <c r="B32" s="350"/>
      <c r="C32" s="351"/>
      <c r="D32" s="340"/>
      <c r="E32" s="341"/>
      <c r="F32" s="338"/>
      <c r="G32" s="341"/>
      <c r="H32" s="339"/>
      <c r="I32" s="309"/>
      <c r="J32" s="350"/>
      <c r="K32" s="351"/>
      <c r="L32" s="340"/>
      <c r="M32" s="341"/>
      <c r="N32" s="338"/>
      <c r="O32" s="341"/>
      <c r="P32" s="339"/>
      <c r="Q32" s="309"/>
      <c r="R32" s="350"/>
      <c r="S32" s="351"/>
      <c r="T32" s="340"/>
      <c r="U32" s="341"/>
      <c r="V32" s="338"/>
      <c r="W32" s="341"/>
      <c r="X32" s="339"/>
      <c r="Y32" s="309"/>
      <c r="Z32" s="350"/>
      <c r="AA32" s="351"/>
      <c r="AB32" s="340"/>
      <c r="AC32" s="341"/>
      <c r="AD32" s="338"/>
      <c r="AE32" s="341"/>
      <c r="AF32" s="339"/>
      <c r="AG32" s="309"/>
    </row>
    <row r="33" spans="1:33" s="78" customFormat="1" ht="17.100000000000001" customHeight="1" x14ac:dyDescent="0.2">
      <c r="A33" s="324"/>
      <c r="B33" s="787" t="s">
        <v>257</v>
      </c>
      <c r="C33" s="788"/>
      <c r="D33" s="340"/>
      <c r="E33" s="341"/>
      <c r="F33" s="338"/>
      <c r="G33" s="341"/>
      <c r="H33" s="339"/>
      <c r="I33" s="309"/>
      <c r="J33" s="787" t="s">
        <v>257</v>
      </c>
      <c r="K33" s="788"/>
      <c r="L33" s="340"/>
      <c r="M33" s="341"/>
      <c r="N33" s="338"/>
      <c r="O33" s="341"/>
      <c r="P33" s="339"/>
      <c r="Q33" s="309"/>
      <c r="R33" s="787" t="s">
        <v>257</v>
      </c>
      <c r="S33" s="788"/>
      <c r="T33" s="340"/>
      <c r="U33" s="341"/>
      <c r="V33" s="338"/>
      <c r="W33" s="341"/>
      <c r="X33" s="339"/>
      <c r="Y33" s="309"/>
      <c r="Z33" s="787" t="s">
        <v>257</v>
      </c>
      <c r="AA33" s="788"/>
      <c r="AB33" s="340"/>
      <c r="AC33" s="341"/>
      <c r="AD33" s="338"/>
      <c r="AE33" s="341"/>
      <c r="AF33" s="339"/>
      <c r="AG33" s="309"/>
    </row>
    <row r="34" spans="1:33" s="78" customFormat="1" ht="17.100000000000001" customHeight="1" x14ac:dyDescent="0.2">
      <c r="A34" s="324"/>
      <c r="B34" s="787" t="s">
        <v>258</v>
      </c>
      <c r="C34" s="788"/>
      <c r="D34" s="336"/>
      <c r="E34" s="336"/>
      <c r="F34" s="338" t="str">
        <f t="shared" ref="F34:F41" si="8">IF(D34=0,"NA",(E34-D34)/D34)</f>
        <v>NA</v>
      </c>
      <c r="G34" s="336"/>
      <c r="H34" s="339" t="str">
        <f t="shared" ref="H34:H40" si="9">IF(E34=0,"NA",(G34-E34)/E34)</f>
        <v>NA</v>
      </c>
      <c r="I34" s="309"/>
      <c r="J34" s="787" t="s">
        <v>258</v>
      </c>
      <c r="K34" s="788"/>
      <c r="L34" s="336"/>
      <c r="M34" s="336"/>
      <c r="N34" s="338" t="str">
        <f t="shared" ref="N34:N41" si="10">IF(L34=0, "NA", (M34-L34)/M34)</f>
        <v>NA</v>
      </c>
      <c r="O34" s="336"/>
      <c r="P34" s="339" t="str">
        <f t="shared" ref="P34:P40" si="11">IF(M34=0,"NA",(O34-M34)/M34)</f>
        <v>NA</v>
      </c>
      <c r="Q34" s="309"/>
      <c r="R34" s="787" t="s">
        <v>258</v>
      </c>
      <c r="S34" s="788"/>
      <c r="T34" s="336"/>
      <c r="U34" s="336"/>
      <c r="V34" s="338" t="str">
        <f t="shared" ref="V34:V41" si="12">IF(T34=0, "NA", (U34-T34)/T34)</f>
        <v>NA</v>
      </c>
      <c r="W34" s="336"/>
      <c r="X34" s="339" t="str">
        <f t="shared" ref="X34:X40" si="13">IF(U34=0,"NA",(W34-U34)/U34)</f>
        <v>NA</v>
      </c>
      <c r="Y34" s="309"/>
      <c r="Z34" s="787" t="s">
        <v>258</v>
      </c>
      <c r="AA34" s="788"/>
      <c r="AB34" s="336"/>
      <c r="AC34" s="336"/>
      <c r="AD34" s="338" t="str">
        <f t="shared" ref="AD34:AD41" si="14">IF(AB34=0, "NA", (AC34-AB34)/AB34)</f>
        <v>NA</v>
      </c>
      <c r="AE34" s="336"/>
      <c r="AF34" s="339" t="str">
        <f t="shared" ref="AF34:AF40" si="15">IF(AC34=0,"NA",(AE34-AC34)/AC34)</f>
        <v>NA</v>
      </c>
      <c r="AG34" s="309"/>
    </row>
    <row r="35" spans="1:33" s="78" customFormat="1" ht="17.100000000000001" customHeight="1" x14ac:dyDescent="0.2">
      <c r="A35" s="324"/>
      <c r="B35" s="787" t="s">
        <v>259</v>
      </c>
      <c r="C35" s="788"/>
      <c r="D35" s="336"/>
      <c r="E35" s="336"/>
      <c r="F35" s="338" t="str">
        <f t="shared" si="8"/>
        <v>NA</v>
      </c>
      <c r="G35" s="336"/>
      <c r="H35" s="339" t="str">
        <f t="shared" si="9"/>
        <v>NA</v>
      </c>
      <c r="I35" s="309"/>
      <c r="J35" s="787" t="s">
        <v>259</v>
      </c>
      <c r="K35" s="788"/>
      <c r="L35" s="336"/>
      <c r="M35" s="336"/>
      <c r="N35" s="338" t="str">
        <f t="shared" si="10"/>
        <v>NA</v>
      </c>
      <c r="O35" s="336"/>
      <c r="P35" s="339" t="str">
        <f t="shared" si="11"/>
        <v>NA</v>
      </c>
      <c r="Q35" s="309"/>
      <c r="R35" s="787" t="s">
        <v>259</v>
      </c>
      <c r="S35" s="788"/>
      <c r="T35" s="336"/>
      <c r="U35" s="336"/>
      <c r="V35" s="338" t="str">
        <f t="shared" si="12"/>
        <v>NA</v>
      </c>
      <c r="W35" s="336"/>
      <c r="X35" s="339" t="str">
        <f t="shared" si="13"/>
        <v>NA</v>
      </c>
      <c r="Y35" s="309"/>
      <c r="Z35" s="787" t="s">
        <v>259</v>
      </c>
      <c r="AA35" s="788"/>
      <c r="AB35" s="336"/>
      <c r="AC35" s="336"/>
      <c r="AD35" s="338" t="str">
        <f t="shared" si="14"/>
        <v>NA</v>
      </c>
      <c r="AE35" s="336"/>
      <c r="AF35" s="339" t="str">
        <f t="shared" si="15"/>
        <v>NA</v>
      </c>
      <c r="AG35" s="309"/>
    </row>
    <row r="36" spans="1:33" s="78" customFormat="1" ht="17.100000000000001" customHeight="1" x14ac:dyDescent="0.2">
      <c r="A36" s="324"/>
      <c r="B36" s="787" t="s">
        <v>24</v>
      </c>
      <c r="C36" s="788"/>
      <c r="D36" s="336"/>
      <c r="E36" s="336"/>
      <c r="F36" s="338" t="str">
        <f t="shared" si="8"/>
        <v>NA</v>
      </c>
      <c r="G36" s="336"/>
      <c r="H36" s="339" t="str">
        <f t="shared" si="9"/>
        <v>NA</v>
      </c>
      <c r="I36" s="309"/>
      <c r="J36" s="787" t="s">
        <v>24</v>
      </c>
      <c r="K36" s="788"/>
      <c r="L36" s="336"/>
      <c r="M36" s="336"/>
      <c r="N36" s="338" t="str">
        <f t="shared" si="10"/>
        <v>NA</v>
      </c>
      <c r="O36" s="336"/>
      <c r="P36" s="339" t="str">
        <f t="shared" si="11"/>
        <v>NA</v>
      </c>
      <c r="Q36" s="309"/>
      <c r="R36" s="787" t="s">
        <v>24</v>
      </c>
      <c r="S36" s="788"/>
      <c r="T36" s="336"/>
      <c r="U36" s="336"/>
      <c r="V36" s="338" t="str">
        <f t="shared" si="12"/>
        <v>NA</v>
      </c>
      <c r="W36" s="336"/>
      <c r="X36" s="339" t="str">
        <f t="shared" si="13"/>
        <v>NA</v>
      </c>
      <c r="Y36" s="309"/>
      <c r="Z36" s="787" t="s">
        <v>24</v>
      </c>
      <c r="AA36" s="788"/>
      <c r="AB36" s="336"/>
      <c r="AC36" s="336"/>
      <c r="AD36" s="338" t="str">
        <f t="shared" si="14"/>
        <v>NA</v>
      </c>
      <c r="AE36" s="336"/>
      <c r="AF36" s="339" t="str">
        <f t="shared" si="15"/>
        <v>NA</v>
      </c>
      <c r="AG36" s="309"/>
    </row>
    <row r="37" spans="1:33" s="78" customFormat="1" ht="17.100000000000001" customHeight="1" x14ac:dyDescent="0.2">
      <c r="A37" s="324"/>
      <c r="B37" s="787" t="s">
        <v>260</v>
      </c>
      <c r="C37" s="788"/>
      <c r="D37" s="336"/>
      <c r="E37" s="336"/>
      <c r="F37" s="338" t="str">
        <f t="shared" si="8"/>
        <v>NA</v>
      </c>
      <c r="G37" s="336"/>
      <c r="H37" s="339" t="str">
        <f t="shared" si="9"/>
        <v>NA</v>
      </c>
      <c r="I37" s="309"/>
      <c r="J37" s="787" t="s">
        <v>260</v>
      </c>
      <c r="K37" s="788"/>
      <c r="L37" s="336"/>
      <c r="M37" s="336"/>
      <c r="N37" s="338" t="str">
        <f t="shared" si="10"/>
        <v>NA</v>
      </c>
      <c r="O37" s="336"/>
      <c r="P37" s="339" t="str">
        <f t="shared" si="11"/>
        <v>NA</v>
      </c>
      <c r="Q37" s="309"/>
      <c r="R37" s="787" t="s">
        <v>260</v>
      </c>
      <c r="S37" s="788"/>
      <c r="T37" s="336"/>
      <c r="U37" s="336"/>
      <c r="V37" s="338" t="str">
        <f t="shared" si="12"/>
        <v>NA</v>
      </c>
      <c r="W37" s="336"/>
      <c r="X37" s="339" t="str">
        <f t="shared" si="13"/>
        <v>NA</v>
      </c>
      <c r="Y37" s="309"/>
      <c r="Z37" s="787" t="s">
        <v>260</v>
      </c>
      <c r="AA37" s="788"/>
      <c r="AB37" s="336"/>
      <c r="AC37" s="336"/>
      <c r="AD37" s="338" t="str">
        <f t="shared" si="14"/>
        <v>NA</v>
      </c>
      <c r="AE37" s="336"/>
      <c r="AF37" s="339" t="str">
        <f t="shared" si="15"/>
        <v>NA</v>
      </c>
      <c r="AG37" s="309"/>
    </row>
    <row r="38" spans="1:33" s="78" customFormat="1" ht="17.100000000000001" customHeight="1" x14ac:dyDescent="0.2">
      <c r="A38" s="324"/>
      <c r="B38" s="787" t="s">
        <v>261</v>
      </c>
      <c r="C38" s="788"/>
      <c r="D38" s="336"/>
      <c r="E38" s="336"/>
      <c r="F38" s="338" t="str">
        <f t="shared" si="8"/>
        <v>NA</v>
      </c>
      <c r="G38" s="336"/>
      <c r="H38" s="339" t="str">
        <f t="shared" si="9"/>
        <v>NA</v>
      </c>
      <c r="I38" s="309"/>
      <c r="J38" s="787" t="s">
        <v>261</v>
      </c>
      <c r="K38" s="788"/>
      <c r="L38" s="336"/>
      <c r="M38" s="336"/>
      <c r="N38" s="338" t="str">
        <f t="shared" si="10"/>
        <v>NA</v>
      </c>
      <c r="O38" s="336"/>
      <c r="P38" s="339" t="str">
        <f t="shared" si="11"/>
        <v>NA</v>
      </c>
      <c r="Q38" s="309"/>
      <c r="R38" s="787" t="s">
        <v>261</v>
      </c>
      <c r="S38" s="788"/>
      <c r="T38" s="336"/>
      <c r="U38" s="336"/>
      <c r="V38" s="338" t="str">
        <f t="shared" si="12"/>
        <v>NA</v>
      </c>
      <c r="W38" s="336"/>
      <c r="X38" s="339" t="str">
        <f t="shared" si="13"/>
        <v>NA</v>
      </c>
      <c r="Y38" s="309"/>
      <c r="Z38" s="787" t="s">
        <v>261</v>
      </c>
      <c r="AA38" s="788"/>
      <c r="AB38" s="336"/>
      <c r="AC38" s="336"/>
      <c r="AD38" s="338" t="str">
        <f t="shared" si="14"/>
        <v>NA</v>
      </c>
      <c r="AE38" s="336"/>
      <c r="AF38" s="339" t="str">
        <f t="shared" si="15"/>
        <v>NA</v>
      </c>
      <c r="AG38" s="309"/>
    </row>
    <row r="39" spans="1:33" s="78" customFormat="1" ht="17.100000000000001" customHeight="1" x14ac:dyDescent="0.2">
      <c r="A39" s="324"/>
      <c r="B39" s="787" t="s">
        <v>262</v>
      </c>
      <c r="C39" s="788"/>
      <c r="D39" s="336"/>
      <c r="E39" s="336"/>
      <c r="F39" s="338" t="str">
        <f t="shared" si="8"/>
        <v>NA</v>
      </c>
      <c r="G39" s="336"/>
      <c r="H39" s="339" t="str">
        <f t="shared" si="9"/>
        <v>NA</v>
      </c>
      <c r="I39" s="309"/>
      <c r="J39" s="787" t="s">
        <v>262</v>
      </c>
      <c r="K39" s="788"/>
      <c r="L39" s="336"/>
      <c r="M39" s="336"/>
      <c r="N39" s="338" t="str">
        <f t="shared" si="10"/>
        <v>NA</v>
      </c>
      <c r="O39" s="336"/>
      <c r="P39" s="339" t="str">
        <f t="shared" si="11"/>
        <v>NA</v>
      </c>
      <c r="Q39" s="309"/>
      <c r="R39" s="787" t="s">
        <v>262</v>
      </c>
      <c r="S39" s="788"/>
      <c r="T39" s="336"/>
      <c r="U39" s="336"/>
      <c r="V39" s="338" t="str">
        <f t="shared" si="12"/>
        <v>NA</v>
      </c>
      <c r="W39" s="336"/>
      <c r="X39" s="339" t="str">
        <f t="shared" si="13"/>
        <v>NA</v>
      </c>
      <c r="Y39" s="309"/>
      <c r="Z39" s="787" t="s">
        <v>262</v>
      </c>
      <c r="AA39" s="788"/>
      <c r="AB39" s="336"/>
      <c r="AC39" s="336"/>
      <c r="AD39" s="338" t="str">
        <f t="shared" si="14"/>
        <v>NA</v>
      </c>
      <c r="AE39" s="336"/>
      <c r="AF39" s="339" t="str">
        <f t="shared" si="15"/>
        <v>NA</v>
      </c>
      <c r="AG39" s="309"/>
    </row>
    <row r="40" spans="1:33" s="78" customFormat="1" ht="17.100000000000001" customHeight="1" x14ac:dyDescent="0.2">
      <c r="A40" s="324"/>
      <c r="B40" s="787" t="s">
        <v>263</v>
      </c>
      <c r="C40" s="788"/>
      <c r="D40" s="336"/>
      <c r="E40" s="336"/>
      <c r="F40" s="338" t="str">
        <f t="shared" si="8"/>
        <v>NA</v>
      </c>
      <c r="G40" s="336"/>
      <c r="H40" s="339" t="str">
        <f t="shared" si="9"/>
        <v>NA</v>
      </c>
      <c r="I40" s="309"/>
      <c r="J40" s="787" t="s">
        <v>263</v>
      </c>
      <c r="K40" s="788"/>
      <c r="L40" s="336"/>
      <c r="M40" s="336"/>
      <c r="N40" s="338" t="str">
        <f t="shared" si="10"/>
        <v>NA</v>
      </c>
      <c r="O40" s="336"/>
      <c r="P40" s="339" t="str">
        <f t="shared" si="11"/>
        <v>NA</v>
      </c>
      <c r="Q40" s="309"/>
      <c r="R40" s="787" t="s">
        <v>263</v>
      </c>
      <c r="S40" s="788"/>
      <c r="T40" s="336"/>
      <c r="U40" s="336"/>
      <c r="V40" s="338" t="str">
        <f t="shared" si="12"/>
        <v>NA</v>
      </c>
      <c r="W40" s="336"/>
      <c r="X40" s="339" t="str">
        <f t="shared" si="13"/>
        <v>NA</v>
      </c>
      <c r="Y40" s="309"/>
      <c r="Z40" s="787" t="s">
        <v>263</v>
      </c>
      <c r="AA40" s="788"/>
      <c r="AB40" s="336"/>
      <c r="AC40" s="336"/>
      <c r="AD40" s="338" t="str">
        <f t="shared" si="14"/>
        <v>NA</v>
      </c>
      <c r="AE40" s="336"/>
      <c r="AF40" s="339" t="str">
        <f t="shared" si="15"/>
        <v>NA</v>
      </c>
      <c r="AG40" s="309"/>
    </row>
    <row r="41" spans="1:33" s="78" customFormat="1" ht="27.75" customHeight="1" x14ac:dyDescent="0.2">
      <c r="A41" s="324"/>
      <c r="B41" s="781" t="s">
        <v>264</v>
      </c>
      <c r="C41" s="782"/>
      <c r="D41" s="346">
        <f>SUM(D31:D40)</f>
        <v>0</v>
      </c>
      <c r="E41" s="346">
        <f>SUM(E31:E40)</f>
        <v>0</v>
      </c>
      <c r="F41" s="334" t="str">
        <f t="shared" si="8"/>
        <v>NA</v>
      </c>
      <c r="G41" s="346">
        <f>SUM(G31:G40)</f>
        <v>0</v>
      </c>
      <c r="H41" s="352" t="str">
        <f>IF(E41=0,"NA",(G41-E41)/E41)</f>
        <v>NA</v>
      </c>
      <c r="I41" s="309"/>
      <c r="J41" s="781" t="s">
        <v>264</v>
      </c>
      <c r="K41" s="782"/>
      <c r="L41" s="346">
        <f>SUM(L31:L40)</f>
        <v>0</v>
      </c>
      <c r="M41" s="346">
        <f>SUM(M31:M40)</f>
        <v>0</v>
      </c>
      <c r="N41" s="334" t="str">
        <f t="shared" si="10"/>
        <v>NA</v>
      </c>
      <c r="O41" s="346">
        <f>SUM(O31:O40)</f>
        <v>0</v>
      </c>
      <c r="P41" s="352" t="str">
        <f>IF(M41=0,"NA",(O41-M41)/M41)</f>
        <v>NA</v>
      </c>
      <c r="Q41" s="309"/>
      <c r="R41" s="781" t="s">
        <v>264</v>
      </c>
      <c r="S41" s="782"/>
      <c r="T41" s="346">
        <f>SUM(T31:T40)</f>
        <v>0</v>
      </c>
      <c r="U41" s="346">
        <f>SUM(U31:U40)</f>
        <v>0</v>
      </c>
      <c r="V41" s="334" t="str">
        <f t="shared" si="12"/>
        <v>NA</v>
      </c>
      <c r="W41" s="346">
        <f>SUM(W31:W40)</f>
        <v>0</v>
      </c>
      <c r="X41" s="352" t="str">
        <f>IF(U41=0,"NA",(W41-U41)/U41)</f>
        <v>NA</v>
      </c>
      <c r="Y41" s="309"/>
      <c r="Z41" s="781" t="s">
        <v>264</v>
      </c>
      <c r="AA41" s="782"/>
      <c r="AB41" s="346">
        <f>SUM(AB31:AB40)</f>
        <v>0</v>
      </c>
      <c r="AC41" s="346">
        <f>SUM(AC31:AC40)</f>
        <v>0</v>
      </c>
      <c r="AD41" s="334" t="str">
        <f t="shared" si="14"/>
        <v>NA</v>
      </c>
      <c r="AE41" s="346">
        <f>SUM(AE31:AE40)</f>
        <v>0</v>
      </c>
      <c r="AF41" s="352" t="str">
        <f>IF(AC41=0,"NA",(AE41-AC41)/AC41)</f>
        <v>NA</v>
      </c>
      <c r="AG41" s="309"/>
    </row>
    <row r="42" spans="1:33" s="78" customFormat="1" ht="17.100000000000001" customHeight="1" thickBot="1" x14ac:dyDescent="0.25">
      <c r="A42" s="324"/>
      <c r="B42" s="789"/>
      <c r="C42" s="790"/>
      <c r="D42" s="353"/>
      <c r="E42" s="354"/>
      <c r="F42" s="355"/>
      <c r="G42" s="354"/>
      <c r="H42" s="356"/>
      <c r="I42" s="309"/>
      <c r="J42" s="789"/>
      <c r="K42" s="790"/>
      <c r="L42" s="353"/>
      <c r="M42" s="354"/>
      <c r="N42" s="355"/>
      <c r="O42" s="354"/>
      <c r="P42" s="356"/>
      <c r="Q42" s="309"/>
      <c r="R42" s="789"/>
      <c r="S42" s="790"/>
      <c r="T42" s="353"/>
      <c r="U42" s="354"/>
      <c r="V42" s="355"/>
      <c r="W42" s="354"/>
      <c r="X42" s="356"/>
      <c r="Y42" s="309"/>
      <c r="Z42" s="789"/>
      <c r="AA42" s="790"/>
      <c r="AB42" s="353"/>
      <c r="AC42" s="354"/>
      <c r="AD42" s="355"/>
      <c r="AE42" s="354"/>
      <c r="AF42" s="356"/>
      <c r="AG42" s="309"/>
    </row>
    <row r="43" spans="1:33" x14ac:dyDescent="0.2">
      <c r="A43" s="377"/>
      <c r="B43" s="378"/>
      <c r="C43" s="379"/>
      <c r="D43" s="380"/>
      <c r="E43" s="380"/>
      <c r="F43" s="381"/>
      <c r="G43" s="380"/>
      <c r="H43" s="379"/>
      <c r="I43" s="377"/>
      <c r="J43" s="378"/>
      <c r="K43" s="379"/>
      <c r="L43" s="380"/>
      <c r="M43" s="380"/>
      <c r="N43" s="381"/>
      <c r="O43" s="380"/>
      <c r="P43" s="382"/>
      <c r="Q43" s="377"/>
      <c r="R43" s="377"/>
      <c r="S43" s="377"/>
      <c r="T43" s="377"/>
      <c r="U43" s="377"/>
      <c r="V43" s="383"/>
      <c r="W43" s="377"/>
      <c r="X43" s="377"/>
    </row>
    <row r="44" spans="1:33" x14ac:dyDescent="0.2">
      <c r="A44" s="377"/>
      <c r="B44" s="377"/>
      <c r="C44" s="384"/>
      <c r="D44" s="384"/>
      <c r="E44" s="384"/>
      <c r="F44" s="385"/>
      <c r="G44" s="384"/>
      <c r="H44" s="384"/>
      <c r="I44" s="377"/>
      <c r="J44" s="377"/>
      <c r="K44" s="384"/>
      <c r="L44" s="384"/>
      <c r="M44" s="384"/>
      <c r="N44" s="385"/>
      <c r="O44" s="384"/>
      <c r="P44" s="386"/>
      <c r="Q44" s="377"/>
      <c r="R44" s="377"/>
      <c r="S44" s="377"/>
      <c r="T44" s="377"/>
      <c r="U44" s="377"/>
      <c r="V44" s="383"/>
      <c r="W44" s="377"/>
      <c r="X44" s="377"/>
    </row>
    <row r="45" spans="1:33" x14ac:dyDescent="0.2">
      <c r="A45" s="377"/>
      <c r="B45" s="377"/>
      <c r="C45" s="384"/>
      <c r="D45" s="384"/>
      <c r="E45" s="384"/>
      <c r="F45" s="385"/>
      <c r="G45" s="384"/>
      <c r="H45" s="384"/>
      <c r="I45" s="377"/>
      <c r="J45" s="377"/>
      <c r="K45" s="384"/>
      <c r="L45" s="384"/>
      <c r="M45" s="384"/>
      <c r="N45" s="385"/>
      <c r="O45" s="384"/>
      <c r="P45" s="384"/>
      <c r="Q45" s="377"/>
      <c r="R45" s="377"/>
      <c r="S45" s="377"/>
      <c r="T45" s="377"/>
      <c r="U45" s="377"/>
      <c r="V45" s="383"/>
      <c r="W45" s="377"/>
      <c r="X45" s="377"/>
    </row>
    <row r="46" spans="1:33" x14ac:dyDescent="0.2">
      <c r="A46" s="377"/>
      <c r="B46" s="377"/>
      <c r="C46" s="384"/>
      <c r="D46" s="384"/>
      <c r="E46" s="384"/>
      <c r="F46" s="385"/>
      <c r="G46" s="384"/>
      <c r="H46" s="384"/>
      <c r="I46" s="377"/>
      <c r="J46" s="377"/>
      <c r="K46" s="384"/>
      <c r="L46" s="384"/>
      <c r="M46" s="384"/>
      <c r="N46" s="385"/>
      <c r="O46" s="384"/>
      <c r="P46" s="384"/>
      <c r="Q46" s="377"/>
      <c r="R46" s="377"/>
      <c r="S46" s="377"/>
      <c r="T46" s="377"/>
      <c r="U46" s="377"/>
      <c r="V46" s="383"/>
      <c r="W46" s="377"/>
      <c r="X46" s="377"/>
    </row>
    <row r="47" spans="1:33" x14ac:dyDescent="0.2">
      <c r="A47" s="377"/>
      <c r="B47" s="377"/>
      <c r="C47" s="384"/>
      <c r="D47" s="384"/>
      <c r="E47" s="384"/>
      <c r="F47" s="385"/>
      <c r="G47" s="384"/>
      <c r="H47" s="384"/>
      <c r="I47" s="377"/>
      <c r="J47" s="377"/>
      <c r="K47" s="384"/>
      <c r="L47" s="384"/>
      <c r="M47" s="384"/>
      <c r="N47" s="385"/>
      <c r="O47" s="384"/>
      <c r="P47" s="384"/>
      <c r="Q47" s="377"/>
      <c r="R47" s="377"/>
      <c r="S47" s="377"/>
      <c r="T47" s="377"/>
      <c r="U47" s="377"/>
      <c r="V47" s="383"/>
      <c r="W47" s="377"/>
      <c r="X47" s="377"/>
    </row>
    <row r="48" spans="1:33" x14ac:dyDescent="0.2">
      <c r="B48" s="377"/>
      <c r="C48" s="384"/>
      <c r="D48" s="384"/>
      <c r="E48" s="384"/>
      <c r="F48" s="385"/>
      <c r="G48" s="384"/>
      <c r="H48" s="384"/>
      <c r="I48" s="377"/>
      <c r="J48" s="377"/>
      <c r="K48" s="384"/>
      <c r="L48" s="384"/>
      <c r="M48" s="384"/>
      <c r="N48" s="385"/>
      <c r="O48" s="384"/>
      <c r="P48" s="384"/>
      <c r="Q48" s="377"/>
      <c r="R48" s="377"/>
      <c r="S48" s="377"/>
      <c r="T48" s="377"/>
      <c r="U48" s="377"/>
      <c r="V48" s="383"/>
      <c r="W48" s="377"/>
      <c r="X48" s="377"/>
    </row>
    <row r="2898" spans="6:6" ht="15" customHeight="1" x14ac:dyDescent="0.2"/>
    <row r="2899" spans="6:6" ht="85.5" customHeight="1" x14ac:dyDescent="0.2">
      <c r="F2899" s="372"/>
    </row>
    <row r="2900" spans="6:6" ht="85.5" customHeight="1" x14ac:dyDescent="0.2">
      <c r="F2900" s="372"/>
    </row>
    <row r="2901" spans="6:6" ht="85.5" customHeight="1" x14ac:dyDescent="0.2">
      <c r="F2901" s="372"/>
    </row>
    <row r="2902" spans="6:6" ht="85.5" customHeight="1" x14ac:dyDescent="0.2">
      <c r="F2902" s="372"/>
    </row>
    <row r="2903" spans="6:6" ht="85.5" customHeight="1" x14ac:dyDescent="0.2">
      <c r="F2903" s="372"/>
    </row>
    <row r="2904" spans="6:6" ht="85.5" customHeight="1" x14ac:dyDescent="0.2">
      <c r="F2904" s="372"/>
    </row>
    <row r="2905" spans="6:6" ht="85.5" customHeight="1" x14ac:dyDescent="0.2">
      <c r="F2905" s="372"/>
    </row>
    <row r="2906" spans="6:6" ht="85.5" customHeight="1" x14ac:dyDescent="0.2"/>
    <row r="2907" spans="6:6" ht="85.5" customHeight="1" x14ac:dyDescent="0.2"/>
  </sheetData>
  <sheetProtection algorithmName="SHA-512" hashValue="iHdyJ9X7TMhLZ/v2/TNEKtWwLIXkIorDz/3TvPC1o0GaDZ98QBwPvF6lhAScxxGHliri+gXTo73x4tx93MRuCg==" saltValue="0SBXKWPY3q5ObIeP1nIzeg==" spinCount="100000" sheet="1" objects="1" scenarios="1"/>
  <mergeCells count="144">
    <mergeCell ref="B41:C41"/>
    <mergeCell ref="J41:K41"/>
    <mergeCell ref="R41:S41"/>
    <mergeCell ref="Z41:AA41"/>
    <mergeCell ref="B42:C42"/>
    <mergeCell ref="J42:K42"/>
    <mergeCell ref="R42:S42"/>
    <mergeCell ref="Z42:AA42"/>
    <mergeCell ref="B39:C39"/>
    <mergeCell ref="J39:K39"/>
    <mergeCell ref="R39:S39"/>
    <mergeCell ref="Z39:AA39"/>
    <mergeCell ref="B40:C40"/>
    <mergeCell ref="J40:K40"/>
    <mergeCell ref="R40:S40"/>
    <mergeCell ref="Z40:AA40"/>
    <mergeCell ref="B37:C37"/>
    <mergeCell ref="J37:K37"/>
    <mergeCell ref="R37:S37"/>
    <mergeCell ref="Z37:AA37"/>
    <mergeCell ref="B38:C38"/>
    <mergeCell ref="J38:K38"/>
    <mergeCell ref="R38:S38"/>
    <mergeCell ref="Z38:AA38"/>
    <mergeCell ref="B35:C35"/>
    <mergeCell ref="J35:K35"/>
    <mergeCell ref="R35:S35"/>
    <mergeCell ref="Z35:AA35"/>
    <mergeCell ref="B36:C36"/>
    <mergeCell ref="J36:K36"/>
    <mergeCell ref="R36:S36"/>
    <mergeCell ref="Z36:AA36"/>
    <mergeCell ref="B33:C33"/>
    <mergeCell ref="J33:K33"/>
    <mergeCell ref="R33:S33"/>
    <mergeCell ref="Z33:AA33"/>
    <mergeCell ref="B34:C34"/>
    <mergeCell ref="J34:K34"/>
    <mergeCell ref="R34:S34"/>
    <mergeCell ref="Z34:AA34"/>
    <mergeCell ref="B30:C30"/>
    <mergeCell ref="J30:K30"/>
    <mergeCell ref="R30:S30"/>
    <mergeCell ref="Z30:AA30"/>
    <mergeCell ref="B31:C31"/>
    <mergeCell ref="J31:K31"/>
    <mergeCell ref="R31:S31"/>
    <mergeCell ref="Z31:AA31"/>
    <mergeCell ref="B28:C28"/>
    <mergeCell ref="J28:K28"/>
    <mergeCell ref="R28:S28"/>
    <mergeCell ref="Z28:AA28"/>
    <mergeCell ref="B29:C29"/>
    <mergeCell ref="J29:K29"/>
    <mergeCell ref="R29:S29"/>
    <mergeCell ref="Z29:AA29"/>
    <mergeCell ref="B26:C26"/>
    <mergeCell ref="J26:K26"/>
    <mergeCell ref="R26:S26"/>
    <mergeCell ref="Z26:AA26"/>
    <mergeCell ref="B27:C27"/>
    <mergeCell ref="J27:K27"/>
    <mergeCell ref="R27:S27"/>
    <mergeCell ref="Z27:AA27"/>
    <mergeCell ref="B24:C24"/>
    <mergeCell ref="J24:K24"/>
    <mergeCell ref="R24:S24"/>
    <mergeCell ref="Z24:AA24"/>
    <mergeCell ref="B25:C25"/>
    <mergeCell ref="J25:K25"/>
    <mergeCell ref="R25:S25"/>
    <mergeCell ref="Z25:AA25"/>
    <mergeCell ref="B21:C21"/>
    <mergeCell ref="J21:K21"/>
    <mergeCell ref="R21:S21"/>
    <mergeCell ref="Z21:AA21"/>
    <mergeCell ref="B22:C22"/>
    <mergeCell ref="J22:K22"/>
    <mergeCell ref="R22:S22"/>
    <mergeCell ref="Z22:AA22"/>
    <mergeCell ref="B19:C19"/>
    <mergeCell ref="J19:K19"/>
    <mergeCell ref="R19:S19"/>
    <mergeCell ref="Z19:AA19"/>
    <mergeCell ref="B20:C20"/>
    <mergeCell ref="J20:K20"/>
    <mergeCell ref="R20:S20"/>
    <mergeCell ref="Z20:AA20"/>
    <mergeCell ref="B17:C17"/>
    <mergeCell ref="J17:K17"/>
    <mergeCell ref="R17:S17"/>
    <mergeCell ref="Z17:AA17"/>
    <mergeCell ref="B18:C18"/>
    <mergeCell ref="J18:K18"/>
    <mergeCell ref="R18:S18"/>
    <mergeCell ref="Z18:AA18"/>
    <mergeCell ref="B15:C15"/>
    <mergeCell ref="J15:K15"/>
    <mergeCell ref="R15:S15"/>
    <mergeCell ref="Z15:AA15"/>
    <mergeCell ref="B16:C16"/>
    <mergeCell ref="J16:K16"/>
    <mergeCell ref="R16:S16"/>
    <mergeCell ref="Z16:AA16"/>
    <mergeCell ref="B13:C13"/>
    <mergeCell ref="J13:K13"/>
    <mergeCell ref="R13:S13"/>
    <mergeCell ref="Z13:AA13"/>
    <mergeCell ref="B14:C14"/>
    <mergeCell ref="J14:K14"/>
    <mergeCell ref="R14:S14"/>
    <mergeCell ref="Z14:AA14"/>
    <mergeCell ref="B10:C10"/>
    <mergeCell ref="J10:K10"/>
    <mergeCell ref="R10:S10"/>
    <mergeCell ref="Z10:AA10"/>
    <mergeCell ref="B11:C11"/>
    <mergeCell ref="J11:K11"/>
    <mergeCell ref="R11:S11"/>
    <mergeCell ref="Z11:AA11"/>
    <mergeCell ref="X7:X8"/>
    <mergeCell ref="Z7:AA8"/>
    <mergeCell ref="C3:H3"/>
    <mergeCell ref="B5:C5"/>
    <mergeCell ref="E5:H5"/>
    <mergeCell ref="J5:K5"/>
    <mergeCell ref="M5:P5"/>
    <mergeCell ref="R5:S5"/>
    <mergeCell ref="AD7:AD8"/>
    <mergeCell ref="AF7:AF8"/>
    <mergeCell ref="B9:C9"/>
    <mergeCell ref="J9:K9"/>
    <mergeCell ref="R9:S9"/>
    <mergeCell ref="Z9:AA9"/>
    <mergeCell ref="U5:X5"/>
    <mergeCell ref="Z5:AA5"/>
    <mergeCell ref="AC5:AF5"/>
    <mergeCell ref="F7:F8"/>
    <mergeCell ref="H7:H8"/>
    <mergeCell ref="J7:K8"/>
    <mergeCell ref="N7:N8"/>
    <mergeCell ref="P7:P8"/>
    <mergeCell ref="R7:S8"/>
    <mergeCell ref="V7:V8"/>
  </mergeCells>
  <conditionalFormatting sqref="B7:H8 J7:P8 R7:X8 Z7:AF8">
    <cfRule type="expression" dxfId="45" priority="1">
      <formula>OR( Branding = "YBR")</formula>
    </cfRule>
    <cfRule type="expression" dxfId="44" priority="2">
      <formula>OR( Branding = "Paramount")</formula>
    </cfRule>
    <cfRule type="expression" dxfId="43" priority="3">
      <formula>OR( Branding = "Thrive")</formula>
    </cfRule>
    <cfRule type="expression" dxfId="42" priority="4">
      <formula>OR( Branding = "WINWIN")</formula>
    </cfRule>
    <cfRule type="expression" dxfId="41" priority="5">
      <formula>OR( Branding = "RM")</formula>
    </cfRule>
    <cfRule type="expression" dxfId="40" priority="6">
      <formula>OR( Branding = "Go Beyond")</formula>
    </cfRule>
    <cfRule type="expression" dxfId="39" priority="7">
      <formula>OR( Branding = "AFG Align")</formula>
    </cfRule>
    <cfRule type="expression" dxfId="38" priority="8">
      <formula>OR( Branding = "AFG")</formula>
    </cfRule>
    <cfRule type="expression" dxfId="37" priority="9">
      <formula>OR( Branding = "CON")</formula>
    </cfRule>
  </conditionalFormatting>
  <pageMargins left="0.19685039370078741" right="0.19685039370078741" top="1.0236220472440944" bottom="0.27559055118110237" header="0.15748031496062992" footer="0.19685039370078741"/>
  <pageSetup paperSize="9" scale="56"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B69DC-9B7F-4097-82E3-EB87C2BA1CA1}">
  <sheetPr codeName="Sheet91">
    <tabColor theme="1"/>
  </sheetPr>
  <dimension ref="A1:S2907"/>
  <sheetViews>
    <sheetView showGridLines="0" zoomScaleNormal="100" workbookViewId="0">
      <selection activeCell="U20" sqref="U20"/>
    </sheetView>
  </sheetViews>
  <sheetFormatPr defaultColWidth="9.140625" defaultRowHeight="12.75" x14ac:dyDescent="0.2"/>
  <cols>
    <col min="1" max="1" width="14.7109375" style="389" customWidth="1"/>
    <col min="2" max="2" width="23.42578125" style="389" customWidth="1"/>
    <col min="3" max="3" width="14.7109375" style="389" customWidth="1"/>
    <col min="4" max="4" width="18.5703125" style="389" customWidth="1"/>
    <col min="5" max="7" width="14.7109375" style="389" customWidth="1"/>
    <col min="8" max="8" width="4.42578125" style="389" customWidth="1"/>
    <col min="9" max="11" width="9.140625" style="389"/>
    <col min="12" max="12" width="10.5703125" style="389" customWidth="1"/>
    <col min="13" max="13" width="10.7109375" style="389" customWidth="1"/>
    <col min="14" max="14" width="4.140625" style="389" customWidth="1"/>
    <col min="15" max="15" width="33.140625" style="389" customWidth="1"/>
    <col min="16" max="16" width="10.42578125" style="389" customWidth="1"/>
    <col min="17" max="17" width="11.42578125" style="389" customWidth="1"/>
    <col min="18" max="18" width="11.85546875" style="389" customWidth="1"/>
    <col min="19" max="19" width="4.7109375" style="389" customWidth="1"/>
    <col min="20" max="16384" width="9.140625" style="389"/>
  </cols>
  <sheetData>
    <row r="1" spans="1:19" ht="12.75" customHeight="1" x14ac:dyDescent="0.2">
      <c r="A1" s="309"/>
      <c r="B1" s="387"/>
      <c r="C1" s="388" t="s">
        <v>265</v>
      </c>
      <c r="D1" s="302"/>
      <c r="E1" s="302"/>
      <c r="F1" s="303"/>
      <c r="G1" s="309"/>
      <c r="H1" s="309"/>
      <c r="I1" s="309"/>
      <c r="J1" s="309"/>
      <c r="K1" s="309"/>
      <c r="L1" s="309"/>
      <c r="M1" s="309"/>
      <c r="N1" s="309"/>
      <c r="O1" s="309"/>
      <c r="P1" s="309"/>
      <c r="Q1" s="309"/>
      <c r="R1" s="309"/>
    </row>
    <row r="2" spans="1:19" ht="15.75" customHeight="1" x14ac:dyDescent="0.2">
      <c r="A2" s="387"/>
      <c r="B2" s="309"/>
      <c r="C2" s="309"/>
      <c r="D2" s="309"/>
      <c r="E2" s="309"/>
      <c r="F2" s="309"/>
      <c r="G2" s="309"/>
      <c r="H2" s="309"/>
      <c r="I2" s="309"/>
      <c r="J2" s="309"/>
      <c r="K2" s="309"/>
      <c r="L2" s="309"/>
      <c r="M2" s="309"/>
      <c r="N2" s="309"/>
      <c r="O2" s="309"/>
      <c r="P2" s="309"/>
      <c r="Q2" s="309"/>
      <c r="R2" s="309"/>
    </row>
    <row r="3" spans="1:19" ht="23.25" customHeight="1" x14ac:dyDescent="0.2">
      <c r="A3" s="387"/>
      <c r="B3" s="390" t="s">
        <v>236</v>
      </c>
      <c r="C3" s="391" t="str">
        <f>Loans!B12</f>
        <v/>
      </c>
      <c r="D3" s="392"/>
      <c r="E3" s="392"/>
      <c r="F3" s="393"/>
      <c r="G3" s="387"/>
      <c r="H3" s="309"/>
      <c r="I3" s="309"/>
      <c r="J3" s="309"/>
      <c r="K3" s="309"/>
      <c r="L3" s="309"/>
      <c r="M3" s="309"/>
      <c r="N3" s="309"/>
      <c r="O3" s="309"/>
      <c r="P3" s="309"/>
      <c r="Q3" s="309"/>
      <c r="R3" s="309"/>
    </row>
    <row r="4" spans="1:19" x14ac:dyDescent="0.2">
      <c r="A4" s="387"/>
      <c r="B4" s="387"/>
      <c r="C4" s="387"/>
      <c r="D4" s="387"/>
      <c r="E4" s="387"/>
      <c r="F4" s="387"/>
      <c r="G4" s="387"/>
      <c r="H4" s="309"/>
      <c r="I4" s="309"/>
      <c r="J4" s="309"/>
      <c r="K4" s="309"/>
      <c r="L4" s="309"/>
      <c r="M4" s="309"/>
      <c r="N4" s="309"/>
      <c r="O4" s="309"/>
      <c r="P4" s="309"/>
      <c r="Q4" s="309"/>
      <c r="R4" s="309"/>
    </row>
    <row r="5" spans="1:19" x14ac:dyDescent="0.2">
      <c r="A5" s="394" t="s">
        <v>266</v>
      </c>
      <c r="B5" s="387"/>
      <c r="C5" s="387"/>
      <c r="D5" s="387"/>
      <c r="E5" s="387"/>
      <c r="F5" s="387"/>
      <c r="G5" s="387"/>
      <c r="H5" s="309"/>
      <c r="I5" s="394" t="s">
        <v>267</v>
      </c>
      <c r="J5" s="309"/>
      <c r="K5" s="309"/>
      <c r="L5" s="309"/>
      <c r="M5" s="309"/>
      <c r="N5" s="309"/>
      <c r="O5" s="394" t="s">
        <v>268</v>
      </c>
      <c r="P5" s="309"/>
      <c r="Q5" s="309"/>
      <c r="R5" s="309"/>
    </row>
    <row r="6" spans="1:19" ht="5.25" customHeight="1" thickBot="1" x14ac:dyDescent="0.25">
      <c r="A6" s="309"/>
      <c r="B6" s="309"/>
      <c r="C6" s="309"/>
      <c r="D6" s="309"/>
      <c r="E6" s="309"/>
      <c r="F6" s="309"/>
      <c r="G6" s="309"/>
      <c r="H6" s="309"/>
      <c r="I6" s="309"/>
      <c r="J6" s="309"/>
      <c r="K6" s="309"/>
      <c r="L6" s="309"/>
      <c r="M6" s="309"/>
      <c r="N6" s="309"/>
      <c r="O6" s="309"/>
      <c r="P6" s="309"/>
      <c r="Q6" s="309"/>
      <c r="R6" s="309"/>
      <c r="S6" s="395"/>
    </row>
    <row r="7" spans="1:19" x14ac:dyDescent="0.2">
      <c r="A7" s="396"/>
      <c r="B7" s="397"/>
      <c r="C7" s="398" t="s">
        <v>269</v>
      </c>
      <c r="D7" s="398" t="s">
        <v>270</v>
      </c>
      <c r="E7" s="398" t="s">
        <v>271</v>
      </c>
      <c r="F7" s="398" t="s">
        <v>270</v>
      </c>
      <c r="G7" s="399" t="s">
        <v>271</v>
      </c>
      <c r="H7" s="309"/>
      <c r="I7" s="396"/>
      <c r="J7" s="400"/>
      <c r="K7" s="400"/>
      <c r="L7" s="401" t="str">
        <f>+D7</f>
        <v>Year Ending</v>
      </c>
      <c r="M7" s="402" t="str">
        <f>+F7</f>
        <v>Year Ending</v>
      </c>
      <c r="N7" s="403"/>
      <c r="O7" s="404"/>
      <c r="P7" s="401" t="str">
        <f>L7</f>
        <v>Year Ending</v>
      </c>
      <c r="Q7" s="401" t="s">
        <v>270</v>
      </c>
      <c r="R7" s="402" t="str">
        <f>Q7</f>
        <v>Year Ending</v>
      </c>
      <c r="S7" s="405"/>
    </row>
    <row r="8" spans="1:19" ht="13.5" thickBot="1" x14ac:dyDescent="0.25">
      <c r="A8" s="406"/>
      <c r="B8" s="407"/>
      <c r="C8" s="408">
        <f>'Company Profit &amp; Loss'!D8</f>
        <v>45473</v>
      </c>
      <c r="D8" s="408">
        <f>'Company Profit &amp; Loss'!E8</f>
        <v>45838</v>
      </c>
      <c r="E8" s="408"/>
      <c r="F8" s="408">
        <f>'Company Profit &amp; Loss'!G8</f>
        <v>46203</v>
      </c>
      <c r="G8" s="409"/>
      <c r="H8" s="309"/>
      <c r="I8" s="410"/>
      <c r="J8" s="411"/>
      <c r="K8" s="411"/>
      <c r="L8" s="412">
        <f>D8</f>
        <v>45838</v>
      </c>
      <c r="M8" s="413">
        <f>F8</f>
        <v>46203</v>
      </c>
      <c r="N8" s="414"/>
      <c r="O8" s="406"/>
      <c r="P8" s="412">
        <f>C8</f>
        <v>45473</v>
      </c>
      <c r="Q8" s="412">
        <v>44742</v>
      </c>
      <c r="R8" s="413">
        <f>F8</f>
        <v>46203</v>
      </c>
      <c r="S8" s="415"/>
    </row>
    <row r="9" spans="1:19" x14ac:dyDescent="0.2">
      <c r="A9" s="416" t="s">
        <v>272</v>
      </c>
      <c r="B9" s="417"/>
      <c r="C9" s="418"/>
      <c r="D9" s="418"/>
      <c r="E9" s="418"/>
      <c r="F9" s="418"/>
      <c r="G9" s="419"/>
      <c r="H9" s="309"/>
      <c r="I9" s="420"/>
      <c r="J9" s="421"/>
      <c r="K9" s="421"/>
      <c r="L9" s="422"/>
      <c r="M9" s="423"/>
      <c r="N9" s="309"/>
      <c r="O9" s="424"/>
      <c r="P9" s="425"/>
      <c r="Q9" s="425"/>
      <c r="R9" s="426"/>
      <c r="S9" s="427"/>
    </row>
    <row r="10" spans="1:19" x14ac:dyDescent="0.2">
      <c r="A10" s="428"/>
      <c r="B10" s="429" t="s">
        <v>273</v>
      </c>
      <c r="C10" s="430"/>
      <c r="D10" s="431"/>
      <c r="E10" s="432" t="str">
        <f>IF(C10=0,"NA",(D10-C10)/C10)</f>
        <v>NA</v>
      </c>
      <c r="F10" s="433"/>
      <c r="G10" s="434" t="str">
        <f>IF(D10=0,"NA",(F10-D10)/D10)</f>
        <v>NA</v>
      </c>
      <c r="H10" s="309"/>
      <c r="I10" s="435" t="s">
        <v>274</v>
      </c>
      <c r="J10" s="436"/>
      <c r="K10" s="436"/>
      <c r="L10" s="437">
        <f>'Company Profit &amp; Loss'!E10</f>
        <v>0</v>
      </c>
      <c r="M10" s="438">
        <f>'Company Profit &amp; Loss'!G10</f>
        <v>0</v>
      </c>
      <c r="N10" s="439"/>
      <c r="O10" s="435" t="s">
        <v>275</v>
      </c>
      <c r="P10" s="440" t="str">
        <f>IF('Company Profit &amp; Loss'!D17=0, "NA",'Company Profit &amp; Loss'!D17/'Company Profit &amp; Loss'!D10)</f>
        <v>NA</v>
      </c>
      <c r="Q10" s="440" t="str">
        <f>IF('Company Profit &amp; Loss'!E17=0, "NA", 'Company Profit &amp; Loss'!E17/'Company Profit &amp; Loss'!E10)</f>
        <v>NA</v>
      </c>
      <c r="R10" s="441" t="str">
        <f>IF('Company Profit &amp; Loss'!G10=0,"NA",'Company Profit &amp; Loss'!G17/'Company Profit &amp; Loss'!G10)</f>
        <v>NA</v>
      </c>
      <c r="S10" s="427"/>
    </row>
    <row r="11" spans="1:19" x14ac:dyDescent="0.2">
      <c r="A11" s="442"/>
      <c r="B11" s="429" t="s">
        <v>276</v>
      </c>
      <c r="C11" s="430"/>
      <c r="D11" s="431"/>
      <c r="E11" s="432" t="str">
        <f>IF(C11=0,"NA",(D11-C11)/C11)</f>
        <v>NA</v>
      </c>
      <c r="F11" s="433"/>
      <c r="G11" s="434" t="str">
        <f>IF(D11=0,"NA",(F11-D11)/D11)</f>
        <v>NA</v>
      </c>
      <c r="H11" s="309"/>
      <c r="I11" s="435" t="s">
        <v>277</v>
      </c>
      <c r="J11" s="436"/>
      <c r="K11" s="436"/>
      <c r="L11" s="437">
        <f>-(+D11-C11)</f>
        <v>0</v>
      </c>
      <c r="M11" s="438">
        <f>-(+F11-D11)</f>
        <v>0</v>
      </c>
      <c r="N11" s="439"/>
      <c r="O11" s="435"/>
      <c r="P11" s="440"/>
      <c r="Q11" s="440"/>
      <c r="R11" s="441"/>
      <c r="S11" s="427"/>
    </row>
    <row r="12" spans="1:19" x14ac:dyDescent="0.2">
      <c r="A12" s="442"/>
      <c r="B12" s="429" t="s">
        <v>278</v>
      </c>
      <c r="C12" s="430"/>
      <c r="D12" s="431"/>
      <c r="E12" s="432" t="str">
        <f>IF(C12=0,"NA",(D12-C12)/C12)</f>
        <v>NA</v>
      </c>
      <c r="F12" s="433"/>
      <c r="G12" s="434" t="str">
        <f>IF(D12=0,"NA",(F12-D12)/D12)</f>
        <v>NA</v>
      </c>
      <c r="H12" s="309"/>
      <c r="I12" s="443"/>
      <c r="J12" s="436"/>
      <c r="K12" s="436"/>
      <c r="L12" s="444"/>
      <c r="M12" s="445"/>
      <c r="N12" s="446"/>
      <c r="O12" s="435" t="s">
        <v>279</v>
      </c>
      <c r="P12" s="440" t="str">
        <f>IF('Company Profit &amp; Loss'!D10=0,"NA",('Company Profit &amp; Loss'!D31+'Company Profit &amp; Loss'!D25)/'Company Profit &amp; Loss'!D10)</f>
        <v>NA</v>
      </c>
      <c r="Q12" s="440" t="str">
        <f>IF('Company Profit &amp; Loss'!E10=0,"NA",('Company Profit &amp; Loss'!E31-'Company Profit &amp; Loss'!E25)/'Company Profit &amp; Loss'!E10)</f>
        <v>NA</v>
      </c>
      <c r="R12" s="441" t="str">
        <f>IF('Company Profit &amp; Loss'!G10=0,"NA",('Company Profit &amp; Loss'!G31-'Company Profit &amp; Loss'!G25)/'Company Profit &amp; Loss'!G10)</f>
        <v>NA</v>
      </c>
      <c r="S12" s="427"/>
    </row>
    <row r="13" spans="1:19" x14ac:dyDescent="0.2">
      <c r="A13" s="442"/>
      <c r="B13" s="429" t="s">
        <v>263</v>
      </c>
      <c r="C13" s="447"/>
      <c r="D13" s="448"/>
      <c r="E13" s="432" t="str">
        <f>IF(C13=0,"NA",(D13-C13)/C13)</f>
        <v>NA</v>
      </c>
      <c r="F13" s="449"/>
      <c r="G13" s="434" t="str">
        <f>IF(D13=0,"NA",(F13-D13)/D13)</f>
        <v>NA</v>
      </c>
      <c r="H13" s="309"/>
      <c r="I13" s="435" t="s">
        <v>246</v>
      </c>
      <c r="J13" s="436"/>
      <c r="K13" s="436"/>
      <c r="L13" s="437">
        <f>'Company Profit &amp; Loss'!E13</f>
        <v>0</v>
      </c>
      <c r="M13" s="438">
        <f>'Company Profit &amp; Loss'!G13</f>
        <v>0</v>
      </c>
      <c r="N13" s="439"/>
      <c r="O13" s="435"/>
      <c r="P13" s="440"/>
      <c r="Q13" s="440"/>
      <c r="R13" s="441"/>
      <c r="S13" s="427"/>
    </row>
    <row r="14" spans="1:19" ht="13.5" thickBot="1" x14ac:dyDescent="0.25">
      <c r="A14" s="442"/>
      <c r="B14" s="450" t="s">
        <v>13</v>
      </c>
      <c r="C14" s="451">
        <f>SUM(C10:C13)</f>
        <v>0</v>
      </c>
      <c r="D14" s="451">
        <f>SUM(D10:D13)</f>
        <v>0</v>
      </c>
      <c r="E14" s="452" t="str">
        <f>IF(C14=0,"NA",(D14-C14)/C14)</f>
        <v>NA</v>
      </c>
      <c r="F14" s="451">
        <f>SUM(F10:F13)</f>
        <v>0</v>
      </c>
      <c r="G14" s="453" t="str">
        <f>IF(D14=0,"NA",(F14-D14)/D14)</f>
        <v>NA</v>
      </c>
      <c r="H14" s="309"/>
      <c r="I14" s="435" t="s">
        <v>280</v>
      </c>
      <c r="J14" s="436"/>
      <c r="K14" s="436"/>
      <c r="L14" s="437">
        <f>-(+D12-C12)</f>
        <v>0</v>
      </c>
      <c r="M14" s="438">
        <f>-(+F12-D12)</f>
        <v>0</v>
      </c>
      <c r="N14" s="439"/>
      <c r="O14" s="435" t="s">
        <v>281</v>
      </c>
      <c r="P14" s="440" t="str">
        <f>IF('Company Profit &amp; Loss'!D19=0,"NA",'Company Profit &amp; Loss'!D34/'Company Profit &amp; Loss'!D19)</f>
        <v>NA</v>
      </c>
      <c r="Q14" s="440" t="str">
        <f>IF('Company Profit &amp; Loss'!E19=0,"NA",'Company Profit &amp; Loss'!E34/'Company Profit &amp; Loss'!E19)</f>
        <v>NA</v>
      </c>
      <c r="R14" s="441" t="str">
        <f>IF('Company Profit &amp; Loss'!G19=0,"NA",'Company Profit &amp; Loss'!G34/'Company Profit &amp; Loss'!G19)</f>
        <v>NA</v>
      </c>
      <c r="S14" s="427"/>
    </row>
    <row r="15" spans="1:19" x14ac:dyDescent="0.2">
      <c r="A15" s="454"/>
      <c r="B15" s="429"/>
      <c r="C15" s="455"/>
      <c r="D15" s="455"/>
      <c r="E15" s="432"/>
      <c r="F15" s="455"/>
      <c r="G15" s="434"/>
      <c r="H15" s="309"/>
      <c r="I15" s="435" t="s">
        <v>282</v>
      </c>
      <c r="J15" s="436"/>
      <c r="K15" s="436"/>
      <c r="L15" s="437">
        <f>+D17-C17</f>
        <v>0</v>
      </c>
      <c r="M15" s="438">
        <f>+F17-D17</f>
        <v>0</v>
      </c>
      <c r="N15" s="439"/>
      <c r="O15" s="435"/>
      <c r="P15" s="440"/>
      <c r="Q15" s="440"/>
      <c r="R15" s="441"/>
      <c r="S15" s="427"/>
    </row>
    <row r="16" spans="1:19" x14ac:dyDescent="0.2">
      <c r="A16" s="456" t="s">
        <v>283</v>
      </c>
      <c r="B16" s="429"/>
      <c r="C16" s="430"/>
      <c r="D16" s="431"/>
      <c r="E16" s="432"/>
      <c r="F16" s="433"/>
      <c r="G16" s="434"/>
      <c r="H16" s="309"/>
      <c r="I16" s="457" t="s">
        <v>284</v>
      </c>
      <c r="J16" s="458"/>
      <c r="K16" s="458"/>
      <c r="L16" s="444">
        <f>SUM(L10:L15)</f>
        <v>0</v>
      </c>
      <c r="M16" s="445">
        <f>SUM(M10:M15)</f>
        <v>0</v>
      </c>
      <c r="N16" s="439"/>
      <c r="O16" s="435" t="s">
        <v>285</v>
      </c>
      <c r="P16" s="440" t="str">
        <f>IF('Company Profit &amp; Loss'!D35=0,"NA",'Company Profit &amp; Loss'!D35/C27)</f>
        <v>NA</v>
      </c>
      <c r="Q16" s="440" t="str">
        <f>IF('Company Profit &amp; Loss'!E35=0,"NA",'Company Profit &amp; Loss'!E35/D27)</f>
        <v>NA</v>
      </c>
      <c r="R16" s="441" t="str">
        <f>IF('Company Profit &amp; Loss'!G35=0,"NA",'Company Profit &amp; Loss'!G35/F27)</f>
        <v>NA</v>
      </c>
      <c r="S16" s="459"/>
    </row>
    <row r="17" spans="1:19" x14ac:dyDescent="0.2">
      <c r="A17" s="442"/>
      <c r="B17" s="429" t="s">
        <v>286</v>
      </c>
      <c r="C17" s="430"/>
      <c r="D17" s="431"/>
      <c r="E17" s="432" t="str">
        <f t="shared" ref="E17:E22" si="0">IF(C17=0,"NA",(D17-C17)/C17)</f>
        <v>NA</v>
      </c>
      <c r="F17" s="433"/>
      <c r="G17" s="434" t="str">
        <f t="shared" ref="G17:G22" si="1">IF(D17=0,"NA",(F17-D17)/D17)</f>
        <v>NA</v>
      </c>
      <c r="H17" s="309"/>
      <c r="I17" s="457"/>
      <c r="J17" s="458"/>
      <c r="K17" s="458"/>
      <c r="L17" s="444"/>
      <c r="M17" s="438"/>
      <c r="N17" s="439"/>
      <c r="O17" s="435"/>
      <c r="P17" s="460"/>
      <c r="Q17" s="460"/>
      <c r="R17" s="461"/>
      <c r="S17" s="462"/>
    </row>
    <row r="18" spans="1:19" x14ac:dyDescent="0.2">
      <c r="A18" s="442"/>
      <c r="B18" s="429" t="s">
        <v>287</v>
      </c>
      <c r="C18" s="430"/>
      <c r="D18" s="431"/>
      <c r="E18" s="432" t="str">
        <f t="shared" si="0"/>
        <v>NA</v>
      </c>
      <c r="F18" s="433"/>
      <c r="G18" s="434" t="str">
        <f t="shared" si="1"/>
        <v>NA</v>
      </c>
      <c r="H18" s="309"/>
      <c r="I18" s="435" t="s">
        <v>288</v>
      </c>
      <c r="J18" s="436"/>
      <c r="K18" s="436"/>
      <c r="L18" s="437">
        <f>'Company Profit &amp; Loss'!E19</f>
        <v>0</v>
      </c>
      <c r="M18" s="438">
        <f>'Company Profit &amp; Loss'!G19</f>
        <v>0</v>
      </c>
      <c r="N18" s="439"/>
      <c r="O18" s="435" t="s">
        <v>289</v>
      </c>
      <c r="P18" s="463" t="str">
        <f>IF('Company Profit &amp; Loss'!D34=0,"NA",('Company Profit &amp; Loss'!D31+'Company Profit &amp; Loss'!D34)/'Company Profit &amp; Loss'!D34)</f>
        <v>NA</v>
      </c>
      <c r="Q18" s="463" t="str">
        <f>IF('Company Profit &amp; Loss'!E34=0,"NA",('Company Profit &amp; Loss'!E31+'Company Profit &amp; Loss'!E34)/'Company Profit &amp; Loss'!E34)</f>
        <v>NA</v>
      </c>
      <c r="R18" s="461" t="str">
        <f>IF('Company Profit &amp; Loss'!G34=0,"NA",('Company Profit &amp; Loss'!G31+'Company Profit &amp; Loss'!G34)/'Company Profit &amp; Loss'!G34)</f>
        <v>NA</v>
      </c>
      <c r="S18" s="459"/>
    </row>
    <row r="19" spans="1:19" x14ac:dyDescent="0.2">
      <c r="A19" s="442"/>
      <c r="B19" s="464" t="s">
        <v>290</v>
      </c>
      <c r="C19" s="430"/>
      <c r="D19" s="431"/>
      <c r="E19" s="432" t="str">
        <f t="shared" si="0"/>
        <v>NA</v>
      </c>
      <c r="F19" s="433"/>
      <c r="G19" s="434" t="str">
        <f t="shared" si="1"/>
        <v>NA</v>
      </c>
      <c r="H19" s="309"/>
      <c r="I19" s="435" t="s">
        <v>291</v>
      </c>
      <c r="J19" s="436"/>
      <c r="K19" s="436"/>
      <c r="L19" s="437">
        <f>+D19-C19</f>
        <v>0</v>
      </c>
      <c r="M19" s="438">
        <f>+F19-D19</f>
        <v>0</v>
      </c>
      <c r="N19" s="446"/>
      <c r="O19" s="435"/>
      <c r="P19" s="460"/>
      <c r="Q19" s="460"/>
      <c r="R19" s="461"/>
      <c r="S19" s="462"/>
    </row>
    <row r="20" spans="1:19" x14ac:dyDescent="0.2">
      <c r="A20" s="442"/>
      <c r="B20" s="464" t="s">
        <v>263</v>
      </c>
      <c r="C20" s="430"/>
      <c r="D20" s="431"/>
      <c r="E20" s="432" t="str">
        <f t="shared" si="0"/>
        <v>NA</v>
      </c>
      <c r="F20" s="433"/>
      <c r="G20" s="434" t="str">
        <f t="shared" si="1"/>
        <v>NA</v>
      </c>
      <c r="H20" s="309"/>
      <c r="I20" s="435" t="s">
        <v>292</v>
      </c>
      <c r="J20" s="458"/>
      <c r="K20" s="458"/>
      <c r="L20" s="437">
        <f>(-D13+C13)+D20-C20</f>
        <v>0</v>
      </c>
      <c r="M20" s="438">
        <f>(-F13+D13)+F20-D20</f>
        <v>0</v>
      </c>
      <c r="N20" s="446"/>
      <c r="O20" s="435" t="s">
        <v>293</v>
      </c>
      <c r="P20" s="463" t="str">
        <f>IF('Company Profit &amp; Loss'!D10=0, "NA",(C11/'Company Profit &amp; Loss'!D10)*365)</f>
        <v>NA</v>
      </c>
      <c r="Q20" s="463" t="str">
        <f>IF(L10=0,"NA",(D11/L10)*365)</f>
        <v>NA</v>
      </c>
      <c r="R20" s="465" t="str">
        <f>IF(M10=0,"NA",(F11/M10)*365)</f>
        <v>NA</v>
      </c>
      <c r="S20" s="462"/>
    </row>
    <row r="21" spans="1:19" x14ac:dyDescent="0.2">
      <c r="A21" s="454"/>
      <c r="B21" s="464" t="s">
        <v>294</v>
      </c>
      <c r="C21" s="447"/>
      <c r="D21" s="448"/>
      <c r="E21" s="432" t="str">
        <f t="shared" si="0"/>
        <v>NA</v>
      </c>
      <c r="F21" s="449"/>
      <c r="G21" s="434" t="str">
        <f t="shared" si="1"/>
        <v>NA</v>
      </c>
      <c r="H21" s="309"/>
      <c r="I21" s="466"/>
      <c r="J21" s="458"/>
      <c r="K21" s="458"/>
      <c r="L21" s="467"/>
      <c r="M21" s="468"/>
      <c r="N21" s="446"/>
      <c r="O21" s="435" t="s">
        <v>295</v>
      </c>
      <c r="P21" s="463" t="str">
        <f>IF('Company Profit &amp; Loss'!D13=0,"NA",(C12/'Company Profit &amp; Loss'!D13)*365)</f>
        <v>NA</v>
      </c>
      <c r="Q21" s="463" t="str">
        <f>IF(L13=0, "NA", (D12/L13)*365)</f>
        <v>NA</v>
      </c>
      <c r="R21" s="465" t="str">
        <f>IF(M13=0, "NA", (F12/M13)*365)</f>
        <v>NA</v>
      </c>
      <c r="S21" s="462"/>
    </row>
    <row r="22" spans="1:19" ht="13.5" thickBot="1" x14ac:dyDescent="0.25">
      <c r="A22" s="442"/>
      <c r="B22" s="469" t="s">
        <v>13</v>
      </c>
      <c r="C22" s="451">
        <f>SUM(C17:C21)</f>
        <v>0</v>
      </c>
      <c r="D22" s="451">
        <f>SUM(D17:D21)</f>
        <v>0</v>
      </c>
      <c r="E22" s="452" t="str">
        <f t="shared" si="0"/>
        <v>NA</v>
      </c>
      <c r="F22" s="451">
        <f>SUM(F17:F21)</f>
        <v>0</v>
      </c>
      <c r="G22" s="453" t="str">
        <f t="shared" si="1"/>
        <v>NA</v>
      </c>
      <c r="H22" s="309"/>
      <c r="I22" s="435" t="s">
        <v>296</v>
      </c>
      <c r="J22" s="436"/>
      <c r="K22" s="436"/>
      <c r="L22" s="437">
        <f>SUM('Company Profit &amp; Loss'!E24:E29)</f>
        <v>0</v>
      </c>
      <c r="M22" s="438">
        <f>SUM('Company Profit &amp; Loss'!G24:G29)</f>
        <v>0</v>
      </c>
      <c r="N22" s="309"/>
      <c r="O22" s="435" t="s">
        <v>297</v>
      </c>
      <c r="P22" s="463" t="str">
        <f>IF('Company Profit &amp; Loss'!D13=0, "NA", ('Balance Sheet'!C17/'Company Profit &amp; Loss'!D13)*365)</f>
        <v>NA</v>
      </c>
      <c r="Q22" s="463" t="str">
        <f>IF(L13=0, "NA", (D17/L13)*365)</f>
        <v>NA</v>
      </c>
      <c r="R22" s="465" t="str">
        <f>IF(M13=0, "NA", (F17/M13)*365)</f>
        <v>NA</v>
      </c>
      <c r="S22" s="459"/>
    </row>
    <row r="23" spans="1:19" x14ac:dyDescent="0.2">
      <c r="A23" s="456" t="s">
        <v>298</v>
      </c>
      <c r="B23" s="464"/>
      <c r="C23" s="470"/>
      <c r="D23" s="470"/>
      <c r="E23" s="432"/>
      <c r="F23" s="470"/>
      <c r="G23" s="434"/>
      <c r="H23" s="309"/>
      <c r="I23" s="435" t="s">
        <v>299</v>
      </c>
      <c r="J23" s="471"/>
      <c r="K23" s="471"/>
      <c r="L23" s="472">
        <v>0</v>
      </c>
      <c r="M23" s="473">
        <v>0</v>
      </c>
      <c r="N23" s="439"/>
      <c r="O23" s="435"/>
      <c r="P23" s="460"/>
      <c r="Q23" s="460"/>
      <c r="R23" s="461"/>
      <c r="S23" s="462"/>
    </row>
    <row r="24" spans="1:19" x14ac:dyDescent="0.2">
      <c r="A24" s="442"/>
      <c r="B24" s="464" t="s">
        <v>300</v>
      </c>
      <c r="C24" s="430"/>
      <c r="D24" s="431"/>
      <c r="E24" s="432" t="str">
        <f t="shared" ref="E24:E29" si="2">IF(C24=0,"NA",(D24-C24)/C24)</f>
        <v>NA</v>
      </c>
      <c r="F24" s="433"/>
      <c r="G24" s="434" t="str">
        <f t="shared" ref="G24:G29" si="3">IF(D24=0,"NA",(F24-D24)/D24)</f>
        <v>NA</v>
      </c>
      <c r="H24" s="309"/>
      <c r="I24" s="435" t="s">
        <v>301</v>
      </c>
      <c r="J24" s="436"/>
      <c r="K24" s="436"/>
      <c r="L24" s="472">
        <v>0</v>
      </c>
      <c r="M24" s="473">
        <v>0</v>
      </c>
      <c r="N24" s="439"/>
      <c r="O24" s="435" t="s">
        <v>302</v>
      </c>
      <c r="P24" s="463" t="str">
        <f>IF(P20="NA","NA",+P20+P21-P22)</f>
        <v>NA</v>
      </c>
      <c r="Q24" s="463" t="str">
        <f>IF(Q20="NA","NA",+Q20+Q21-Q22)</f>
        <v>NA</v>
      </c>
      <c r="R24" s="465" t="str">
        <f>IF(R20="NA","NA",+R20+R21-R22)</f>
        <v>NA</v>
      </c>
      <c r="S24" s="459"/>
    </row>
    <row r="25" spans="1:19" x14ac:dyDescent="0.2">
      <c r="A25" s="454"/>
      <c r="B25" s="464" t="s">
        <v>303</v>
      </c>
      <c r="C25" s="430"/>
      <c r="D25" s="431"/>
      <c r="E25" s="432" t="str">
        <f t="shared" si="2"/>
        <v>NA</v>
      </c>
      <c r="F25" s="433"/>
      <c r="G25" s="434" t="str">
        <f t="shared" si="3"/>
        <v>NA</v>
      </c>
      <c r="H25" s="309"/>
      <c r="I25" s="457" t="s">
        <v>304</v>
      </c>
      <c r="J25" s="458"/>
      <c r="K25" s="458"/>
      <c r="L25" s="444">
        <f>SUM(L16:L24)</f>
        <v>0</v>
      </c>
      <c r="M25" s="445">
        <f>SUM(M16:M24)</f>
        <v>0</v>
      </c>
      <c r="N25" s="439"/>
      <c r="O25" s="435"/>
      <c r="P25" s="460"/>
      <c r="Q25" s="460"/>
      <c r="R25" s="461"/>
      <c r="S25" s="427"/>
    </row>
    <row r="26" spans="1:19" x14ac:dyDescent="0.2">
      <c r="A26" s="454"/>
      <c r="B26" s="464" t="s">
        <v>305</v>
      </c>
      <c r="C26" s="430"/>
      <c r="D26" s="431"/>
      <c r="E26" s="432" t="str">
        <f t="shared" si="2"/>
        <v>NA</v>
      </c>
      <c r="F26" s="433"/>
      <c r="G26" s="434" t="str">
        <f t="shared" si="3"/>
        <v>NA</v>
      </c>
      <c r="H26" s="309"/>
      <c r="I26" s="457"/>
      <c r="J26" s="458"/>
      <c r="K26" s="458"/>
      <c r="L26" s="444"/>
      <c r="M26" s="445"/>
      <c r="N26" s="309"/>
      <c r="O26" s="435" t="s">
        <v>306</v>
      </c>
      <c r="P26" s="463" t="str">
        <f>IF(C41=0,"NA",+(C22+C34)/C41)</f>
        <v>NA</v>
      </c>
      <c r="Q26" s="474" t="str">
        <f>IF(D41=0,"NA",+(D22+D34)/D41)</f>
        <v>NA</v>
      </c>
      <c r="R26" s="475" t="str">
        <f>IF(F41=0,"NA",+(F22+F34)/F41)</f>
        <v>NA</v>
      </c>
      <c r="S26" s="462"/>
    </row>
    <row r="27" spans="1:19" x14ac:dyDescent="0.2">
      <c r="A27" s="442"/>
      <c r="B27" s="464" t="s">
        <v>307</v>
      </c>
      <c r="C27" s="476">
        <f>C25-C26</f>
        <v>0</v>
      </c>
      <c r="D27" s="477">
        <f>D25-D26</f>
        <v>0</v>
      </c>
      <c r="E27" s="432" t="str">
        <f t="shared" si="2"/>
        <v>NA</v>
      </c>
      <c r="F27" s="478">
        <f>F25-F26</f>
        <v>0</v>
      </c>
      <c r="G27" s="434" t="str">
        <f t="shared" si="3"/>
        <v>NA</v>
      </c>
      <c r="H27" s="309"/>
      <c r="I27" s="435" t="s">
        <v>308</v>
      </c>
      <c r="J27" s="436"/>
      <c r="K27" s="436"/>
      <c r="L27" s="472">
        <v>0</v>
      </c>
      <c r="M27" s="473">
        <v>0</v>
      </c>
      <c r="N27" s="439"/>
      <c r="O27" s="435"/>
      <c r="P27" s="463"/>
      <c r="Q27" s="463"/>
      <c r="R27" s="465"/>
      <c r="S27" s="462"/>
    </row>
    <row r="28" spans="1:19" x14ac:dyDescent="0.2">
      <c r="A28" s="442"/>
      <c r="B28" s="464" t="s">
        <v>263</v>
      </c>
      <c r="C28" s="447"/>
      <c r="D28" s="448"/>
      <c r="E28" s="432" t="str">
        <f t="shared" si="2"/>
        <v>NA</v>
      </c>
      <c r="F28" s="449"/>
      <c r="G28" s="434" t="str">
        <f t="shared" si="3"/>
        <v>NA</v>
      </c>
      <c r="H28" s="309"/>
      <c r="I28" s="435" t="s">
        <v>258</v>
      </c>
      <c r="J28" s="436"/>
      <c r="K28" s="436"/>
      <c r="L28" s="437">
        <f>'Company Profit &amp; Loss'!E34</f>
        <v>0</v>
      </c>
      <c r="M28" s="438">
        <f>'Company Profit &amp; Loss'!G25</f>
        <v>0</v>
      </c>
      <c r="N28" s="439"/>
      <c r="O28" s="435" t="s">
        <v>309</v>
      </c>
      <c r="P28" s="463" t="str">
        <f>IF(C22=0,"NA",(C14/C22))</f>
        <v>NA</v>
      </c>
      <c r="Q28" s="463" t="str">
        <f>IF(D22=0,"NA",(D14/D22))</f>
        <v>NA</v>
      </c>
      <c r="R28" s="465" t="str">
        <f>IF(F22=0,"NA",(F14/F22))</f>
        <v>NA</v>
      </c>
      <c r="S28" s="459"/>
    </row>
    <row r="29" spans="1:19" ht="13.5" thickBot="1" x14ac:dyDescent="0.25">
      <c r="A29" s="442"/>
      <c r="B29" s="469" t="s">
        <v>13</v>
      </c>
      <c r="C29" s="451">
        <f>+C24+C27+C28</f>
        <v>0</v>
      </c>
      <c r="D29" s="451">
        <f>+D24+D27+D28</f>
        <v>0</v>
      </c>
      <c r="E29" s="452" t="str">
        <f t="shared" si="2"/>
        <v>NA</v>
      </c>
      <c r="F29" s="451">
        <f>+F24+F27+F28</f>
        <v>0</v>
      </c>
      <c r="G29" s="453" t="str">
        <f t="shared" si="3"/>
        <v>NA</v>
      </c>
      <c r="H29" s="309"/>
      <c r="I29" s="457" t="s">
        <v>310</v>
      </c>
      <c r="J29" s="436"/>
      <c r="K29" s="436"/>
      <c r="L29" s="444">
        <f>SUM(L25:L28)</f>
        <v>0</v>
      </c>
      <c r="M29" s="445">
        <f>SUM(M25:M28)</f>
        <v>0</v>
      </c>
      <c r="N29" s="439"/>
      <c r="O29" s="435"/>
      <c r="P29" s="463"/>
      <c r="Q29" s="463"/>
      <c r="R29" s="465"/>
      <c r="S29" s="459"/>
    </row>
    <row r="30" spans="1:19" x14ac:dyDescent="0.2">
      <c r="A30" s="456" t="s">
        <v>311</v>
      </c>
      <c r="B30" s="464"/>
      <c r="C30" s="470"/>
      <c r="D30" s="470"/>
      <c r="E30" s="432"/>
      <c r="F30" s="470"/>
      <c r="G30" s="434"/>
      <c r="H30" s="309"/>
      <c r="I30" s="466"/>
      <c r="J30" s="458"/>
      <c r="K30" s="458"/>
      <c r="L30" s="467"/>
      <c r="M30" s="468"/>
      <c r="N30" s="446"/>
      <c r="O30" s="435" t="s">
        <v>312</v>
      </c>
      <c r="P30" s="463" t="str">
        <f>IF('Company Profit &amp; Loss'!D31=0,"NA",('Company Profit &amp; Loss'!D31+'Company Profit &amp; Loss'!D25)/(C14+C29))</f>
        <v>NA</v>
      </c>
      <c r="Q30" s="479" t="str">
        <f>IF('Company Profit &amp; Loss'!E31=0,"NA",('Company Profit &amp; Loss'!E31-'Company Profit &amp; Loss'!E25)/(D14+D29))</f>
        <v>NA</v>
      </c>
      <c r="R30" s="480" t="str">
        <f>IF('Company Profit &amp; Loss'!G31=0, "NA", ('Company Profit &amp; Loss'!G31-'Company Profit &amp; Loss'!G25)/(F14+F29))</f>
        <v>NA</v>
      </c>
      <c r="S30" s="415"/>
    </row>
    <row r="31" spans="1:19" x14ac:dyDescent="0.2">
      <c r="A31" s="428"/>
      <c r="B31" s="464" t="s">
        <v>313</v>
      </c>
      <c r="C31" s="430"/>
      <c r="D31" s="431"/>
      <c r="E31" s="432" t="str">
        <f>IF(C31=0,"NA",(D31-C31)/C31)</f>
        <v>NA</v>
      </c>
      <c r="F31" s="433"/>
      <c r="G31" s="434" t="str">
        <f>IF(D31=0,"NA",(F31-D31)/D31)</f>
        <v>NA</v>
      </c>
      <c r="H31" s="309"/>
      <c r="I31" s="435" t="s">
        <v>314</v>
      </c>
      <c r="J31" s="436"/>
      <c r="K31" s="436"/>
      <c r="L31" s="437">
        <f>-(+D29-C29)-'Company Profit &amp; Loss'!E35</f>
        <v>0</v>
      </c>
      <c r="M31" s="438">
        <f>-(+F29-D29)-'Company Profit &amp; Loss'!G35</f>
        <v>0</v>
      </c>
      <c r="N31" s="387"/>
      <c r="O31" s="435"/>
      <c r="P31" s="463"/>
      <c r="Q31" s="479"/>
      <c r="R31" s="480"/>
    </row>
    <row r="32" spans="1:19" x14ac:dyDescent="0.2">
      <c r="A32" s="454"/>
      <c r="B32" s="464" t="s">
        <v>294</v>
      </c>
      <c r="C32" s="430"/>
      <c r="D32" s="431"/>
      <c r="E32" s="432" t="str">
        <f>IF(C32=0,"NA",(D32-C32)/C32)</f>
        <v>NA</v>
      </c>
      <c r="F32" s="433"/>
      <c r="G32" s="434" t="str">
        <f>IF(D32=0,"NA",(F32-D32)/D32)</f>
        <v>NA</v>
      </c>
      <c r="H32" s="309"/>
      <c r="I32" s="435" t="s">
        <v>315</v>
      </c>
      <c r="J32" s="458"/>
      <c r="K32" s="458"/>
      <c r="L32" s="437">
        <f>-(+D39-C39+D40-C40)</f>
        <v>0</v>
      </c>
      <c r="M32" s="438">
        <f>-(+F39-D39+F40-D40)</f>
        <v>0</v>
      </c>
      <c r="N32" s="439"/>
      <c r="O32" s="435" t="s">
        <v>316</v>
      </c>
      <c r="P32" s="460" t="str">
        <f>IF('Company Profit &amp; Loss'!D31=0, "NA", 'Company Profit &amp; Loss'!D31/C41)</f>
        <v>NA</v>
      </c>
      <c r="Q32" s="479" t="str">
        <f>IF('Company Profit &amp; Loss'!E31=0, "NA", 'Company Profit &amp; Loss'!E31/D41)</f>
        <v>NA</v>
      </c>
      <c r="R32" s="480" t="str">
        <f>IF('Company Profit &amp; Loss'!G31=0, "NA", 'Company Profit &amp; Loss'!G31/F41)</f>
        <v>NA</v>
      </c>
    </row>
    <row r="33" spans="1:18" ht="13.5" thickBot="1" x14ac:dyDescent="0.25">
      <c r="A33" s="442"/>
      <c r="B33" s="464" t="s">
        <v>263</v>
      </c>
      <c r="C33" s="447"/>
      <c r="D33" s="448"/>
      <c r="E33" s="432" t="str">
        <f>IF(C33=0,"NA",(D33-C33)/C33)</f>
        <v>NA</v>
      </c>
      <c r="F33" s="449"/>
      <c r="G33" s="434" t="str">
        <f>IF(D33=0,"NA",(F33-D33)/D33)</f>
        <v>NA</v>
      </c>
      <c r="H33" s="309"/>
      <c r="I33" s="435" t="s">
        <v>317</v>
      </c>
      <c r="J33" s="436"/>
      <c r="K33" s="436"/>
      <c r="L33" s="437">
        <f>+D24-C24</f>
        <v>0</v>
      </c>
      <c r="M33" s="438">
        <f>+F24-D24</f>
        <v>0</v>
      </c>
      <c r="N33" s="439"/>
      <c r="O33" s="481"/>
      <c r="P33" s="482"/>
      <c r="Q33" s="482"/>
      <c r="R33" s="483"/>
    </row>
    <row r="34" spans="1:18" ht="13.5" thickBot="1" x14ac:dyDescent="0.25">
      <c r="A34" s="442"/>
      <c r="B34" s="469" t="s">
        <v>13</v>
      </c>
      <c r="C34" s="451">
        <f>SUM(C31:C33)</f>
        <v>0</v>
      </c>
      <c r="D34" s="451">
        <f>SUM(D31:D33)</f>
        <v>0</v>
      </c>
      <c r="E34" s="452" t="str">
        <f>IF(C34=0,"NA",(D34-C34)/C34)</f>
        <v>NA</v>
      </c>
      <c r="F34" s="451">
        <f>SUM(F31:F33)</f>
        <v>0</v>
      </c>
      <c r="G34" s="453" t="str">
        <f>IF(D34=0,"NA",(F34-D34)/D34)</f>
        <v>NA</v>
      </c>
      <c r="H34" s="309"/>
      <c r="I34" s="435" t="s">
        <v>318</v>
      </c>
      <c r="J34" s="436"/>
      <c r="K34" s="436"/>
      <c r="L34" s="437">
        <f>(+D21-C21+D32-C32)</f>
        <v>0</v>
      </c>
      <c r="M34" s="438">
        <f>(+F21-D21+F32-D32)</f>
        <v>0</v>
      </c>
      <c r="N34" s="439"/>
      <c r="O34" s="309"/>
      <c r="P34" s="309"/>
      <c r="Q34" s="309"/>
      <c r="R34" s="309"/>
    </row>
    <row r="35" spans="1:18" x14ac:dyDescent="0.2">
      <c r="A35" s="456" t="s">
        <v>319</v>
      </c>
      <c r="B35" s="464"/>
      <c r="C35" s="470"/>
      <c r="D35" s="470"/>
      <c r="E35" s="432"/>
      <c r="F35" s="470"/>
      <c r="G35" s="434"/>
      <c r="H35" s="309"/>
      <c r="I35" s="457" t="s">
        <v>320</v>
      </c>
      <c r="J35" s="436"/>
      <c r="K35" s="436"/>
      <c r="L35" s="484">
        <f>SUM(L29:L34)</f>
        <v>0</v>
      </c>
      <c r="M35" s="485">
        <f>SUM(M29:M34)</f>
        <v>0</v>
      </c>
      <c r="N35" s="309"/>
      <c r="O35" s="309"/>
      <c r="P35" s="309"/>
      <c r="Q35" s="309"/>
      <c r="R35" s="309"/>
    </row>
    <row r="36" spans="1:18" x14ac:dyDescent="0.2">
      <c r="A36" s="442"/>
      <c r="B36" s="464" t="s">
        <v>321</v>
      </c>
      <c r="C36" s="430"/>
      <c r="D36" s="431"/>
      <c r="E36" s="432" t="str">
        <f t="shared" ref="E36:E41" si="4">IF(C36=0,"NA",(D36-C36)/C36)</f>
        <v>NA</v>
      </c>
      <c r="F36" s="433"/>
      <c r="G36" s="434" t="str">
        <f t="shared" ref="G36:G41" si="5">IF(D36=0,"NA",(F36-D36)/D36)</f>
        <v>NA</v>
      </c>
      <c r="H36" s="309"/>
      <c r="I36" s="435"/>
      <c r="J36" s="436"/>
      <c r="K36" s="436"/>
      <c r="L36" s="437"/>
      <c r="M36" s="438"/>
      <c r="N36" s="439"/>
      <c r="O36" s="793" t="s">
        <v>322</v>
      </c>
      <c r="P36" s="794"/>
      <c r="Q36" s="387"/>
      <c r="R36" s="309"/>
    </row>
    <row r="37" spans="1:18" x14ac:dyDescent="0.2">
      <c r="A37" s="442"/>
      <c r="B37" s="464" t="s">
        <v>323</v>
      </c>
      <c r="C37" s="430"/>
      <c r="D37" s="431"/>
      <c r="E37" s="432" t="str">
        <f t="shared" si="4"/>
        <v>NA</v>
      </c>
      <c r="F37" s="433"/>
      <c r="G37" s="486" t="str">
        <f t="shared" si="5"/>
        <v>NA</v>
      </c>
      <c r="H37" s="309"/>
      <c r="I37" s="435" t="s">
        <v>324</v>
      </c>
      <c r="J37" s="436"/>
      <c r="K37" s="436"/>
      <c r="L37" s="437">
        <f>+D18-C18</f>
        <v>0</v>
      </c>
      <c r="M37" s="438">
        <f>+F18-D18</f>
        <v>0</v>
      </c>
      <c r="N37" s="439"/>
      <c r="O37" s="795" t="s">
        <v>325</v>
      </c>
      <c r="P37" s="796"/>
      <c r="Q37" s="387"/>
      <c r="R37" s="309"/>
    </row>
    <row r="38" spans="1:18" x14ac:dyDescent="0.2">
      <c r="A38" s="442" t="s">
        <v>326</v>
      </c>
      <c r="B38" s="464" t="s">
        <v>327</v>
      </c>
      <c r="C38" s="430"/>
      <c r="D38" s="431"/>
      <c r="E38" s="432" t="str">
        <f t="shared" si="4"/>
        <v>NA</v>
      </c>
      <c r="F38" s="433"/>
      <c r="G38" s="434" t="str">
        <f t="shared" si="5"/>
        <v>NA</v>
      </c>
      <c r="H38" s="309"/>
      <c r="I38" s="487" t="s">
        <v>328</v>
      </c>
      <c r="J38" s="436"/>
      <c r="K38" s="436"/>
      <c r="L38" s="437">
        <f>+D31-C31</f>
        <v>0</v>
      </c>
      <c r="M38" s="438">
        <f>+F31-D31</f>
        <v>0</v>
      </c>
      <c r="N38" s="439"/>
      <c r="O38" s="309"/>
      <c r="P38" s="309"/>
      <c r="Q38" s="387"/>
      <c r="R38" s="309"/>
    </row>
    <row r="39" spans="1:18" x14ac:dyDescent="0.2">
      <c r="A39" s="442" t="s">
        <v>326</v>
      </c>
      <c r="B39" s="464" t="s">
        <v>329</v>
      </c>
      <c r="C39" s="430"/>
      <c r="D39" s="431"/>
      <c r="E39" s="432" t="str">
        <f t="shared" si="4"/>
        <v>NA</v>
      </c>
      <c r="F39" s="433"/>
      <c r="G39" s="434" t="str">
        <f t="shared" si="5"/>
        <v>NA</v>
      </c>
      <c r="H39" s="309"/>
      <c r="I39" s="435" t="s">
        <v>330</v>
      </c>
      <c r="J39" s="436"/>
      <c r="K39" s="436"/>
      <c r="L39" s="437">
        <f>+D36-C36</f>
        <v>0</v>
      </c>
      <c r="M39" s="438">
        <f>+F36-D36</f>
        <v>0</v>
      </c>
      <c r="N39" s="439"/>
      <c r="O39" s="309"/>
      <c r="P39" s="309"/>
      <c r="Q39" s="309"/>
      <c r="R39" s="309"/>
    </row>
    <row r="40" spans="1:18" x14ac:dyDescent="0.2">
      <c r="A40" s="442" t="s">
        <v>326</v>
      </c>
      <c r="B40" s="464" t="s">
        <v>331</v>
      </c>
      <c r="C40" s="447"/>
      <c r="D40" s="448"/>
      <c r="E40" s="432" t="str">
        <f t="shared" si="4"/>
        <v>NA</v>
      </c>
      <c r="F40" s="449"/>
      <c r="G40" s="434" t="str">
        <f t="shared" si="5"/>
        <v>NA</v>
      </c>
      <c r="H40" s="309"/>
      <c r="I40" s="435" t="s">
        <v>332</v>
      </c>
      <c r="J40" s="436"/>
      <c r="K40" s="436"/>
      <c r="L40" s="437">
        <f>+D38-C38</f>
        <v>0</v>
      </c>
      <c r="M40" s="438">
        <f>+F38-D38</f>
        <v>0</v>
      </c>
      <c r="N40" s="488"/>
      <c r="O40" s="309"/>
      <c r="P40" s="309"/>
      <c r="Q40" s="309"/>
      <c r="R40" s="309"/>
    </row>
    <row r="41" spans="1:18" ht="13.5" thickBot="1" x14ac:dyDescent="0.25">
      <c r="A41" s="442"/>
      <c r="B41" s="469" t="s">
        <v>13</v>
      </c>
      <c r="C41" s="451">
        <f>+C36+C37+C38-C39-C40</f>
        <v>0</v>
      </c>
      <c r="D41" s="451">
        <f>+D36+D37+D38-D39-D40</f>
        <v>0</v>
      </c>
      <c r="E41" s="452" t="str">
        <f t="shared" si="4"/>
        <v>NA</v>
      </c>
      <c r="F41" s="451">
        <f>+F36+F37+F38-F39-F40</f>
        <v>0</v>
      </c>
      <c r="G41" s="489" t="str">
        <f t="shared" si="5"/>
        <v>NA</v>
      </c>
      <c r="H41" s="309"/>
      <c r="I41" s="457" t="s">
        <v>333</v>
      </c>
      <c r="J41" s="436"/>
      <c r="K41" s="436"/>
      <c r="L41" s="444">
        <f>SUM(L37:L40)</f>
        <v>0</v>
      </c>
      <c r="M41" s="445">
        <f>SUM(M37:M40)</f>
        <v>0</v>
      </c>
      <c r="N41" s="439"/>
      <c r="O41" s="309"/>
      <c r="P41" s="309"/>
      <c r="Q41" s="309"/>
      <c r="R41" s="309"/>
    </row>
    <row r="42" spans="1:18" x14ac:dyDescent="0.2">
      <c r="A42" s="442"/>
      <c r="B42" s="490"/>
      <c r="C42" s="470"/>
      <c r="D42" s="470"/>
      <c r="E42" s="491"/>
      <c r="F42" s="470"/>
      <c r="G42" s="492"/>
      <c r="H42" s="309"/>
      <c r="I42" s="435"/>
      <c r="J42" s="436"/>
      <c r="K42" s="436"/>
      <c r="L42" s="437"/>
      <c r="M42" s="438"/>
      <c r="N42" s="439"/>
      <c r="O42" s="309"/>
      <c r="P42" s="309"/>
      <c r="Q42" s="309"/>
      <c r="R42" s="309"/>
    </row>
    <row r="43" spans="1:18" x14ac:dyDescent="0.2">
      <c r="A43" s="493" t="s">
        <v>334</v>
      </c>
      <c r="B43" s="490"/>
      <c r="C43" s="494">
        <f>+C14+C29-C22-C34-C41</f>
        <v>0</v>
      </c>
      <c r="D43" s="494">
        <f>+D14+D29-D22-D34-D41</f>
        <v>0</v>
      </c>
      <c r="E43" s="495"/>
      <c r="F43" s="494">
        <f>+F14+F29-F22-F34-F41</f>
        <v>0</v>
      </c>
      <c r="G43" s="492"/>
      <c r="H43" s="309"/>
      <c r="I43" s="496" t="s">
        <v>335</v>
      </c>
      <c r="J43" s="436"/>
      <c r="K43" s="436"/>
      <c r="L43" s="444">
        <f>+L35+L41+C37</f>
        <v>0</v>
      </c>
      <c r="M43" s="445">
        <f>+M35+M41</f>
        <v>0</v>
      </c>
      <c r="N43" s="439"/>
      <c r="O43" s="309"/>
      <c r="P43" s="309"/>
      <c r="Q43" s="309"/>
      <c r="R43" s="309"/>
    </row>
    <row r="44" spans="1:18" ht="13.5" thickBot="1" x14ac:dyDescent="0.25">
      <c r="A44" s="497"/>
      <c r="B44" s="498"/>
      <c r="C44" s="498"/>
      <c r="D44" s="499"/>
      <c r="E44" s="500"/>
      <c r="F44" s="499"/>
      <c r="G44" s="501"/>
      <c r="H44" s="309"/>
      <c r="I44" s="496"/>
      <c r="J44" s="436"/>
      <c r="K44" s="436"/>
      <c r="L44" s="437"/>
      <c r="M44" s="438"/>
      <c r="N44" s="439"/>
      <c r="O44" s="309"/>
      <c r="P44" s="309"/>
      <c r="Q44" s="309"/>
      <c r="R44" s="309"/>
    </row>
    <row r="45" spans="1:18" x14ac:dyDescent="0.2">
      <c r="A45" s="309"/>
      <c r="B45" s="309"/>
      <c r="C45" s="309"/>
      <c r="D45" s="309"/>
      <c r="E45" s="309"/>
      <c r="F45" s="309"/>
      <c r="G45" s="309"/>
      <c r="H45" s="309"/>
      <c r="I45" s="496" t="s">
        <v>336</v>
      </c>
      <c r="J45" s="436"/>
      <c r="K45" s="436"/>
      <c r="L45" s="444">
        <f>+D10-C10</f>
        <v>0</v>
      </c>
      <c r="M45" s="445">
        <f>+F10-D10</f>
        <v>0</v>
      </c>
      <c r="N45" s="439"/>
      <c r="O45" s="309"/>
      <c r="P45" s="309"/>
      <c r="Q45" s="309"/>
      <c r="R45" s="309"/>
    </row>
    <row r="46" spans="1:18" ht="13.5" thickBot="1" x14ac:dyDescent="0.25">
      <c r="A46" s="309"/>
      <c r="B46" s="309"/>
      <c r="C46" s="309"/>
      <c r="D46" s="309"/>
      <c r="E46" s="309"/>
      <c r="F46" s="309"/>
      <c r="G46" s="309"/>
      <c r="H46" s="309"/>
      <c r="I46" s="481"/>
      <c r="J46" s="502"/>
      <c r="K46" s="502"/>
      <c r="L46" s="503"/>
      <c r="M46" s="504"/>
      <c r="N46" s="446"/>
      <c r="O46" s="309"/>
      <c r="P46" s="309"/>
      <c r="Q46" s="309"/>
      <c r="R46" s="309"/>
    </row>
    <row r="47" spans="1:18" x14ac:dyDescent="0.2">
      <c r="N47" s="505"/>
    </row>
    <row r="48" spans="1:18" x14ac:dyDescent="0.2">
      <c r="I48" s="415"/>
      <c r="J48" s="415"/>
      <c r="K48" s="415"/>
      <c r="L48" s="505"/>
      <c r="N48" s="506"/>
    </row>
    <row r="49" spans="14:14" x14ac:dyDescent="0.2">
      <c r="N49" s="505"/>
    </row>
    <row r="50" spans="14:14" x14ac:dyDescent="0.2">
      <c r="N50" s="506"/>
    </row>
    <row r="51" spans="14:14" x14ac:dyDescent="0.2">
      <c r="N51" s="505"/>
    </row>
    <row r="2898" spans="3:5" ht="15" customHeight="1" x14ac:dyDescent="0.2"/>
    <row r="2899" spans="3:5" ht="85.5" customHeight="1" x14ac:dyDescent="0.2">
      <c r="C2899" s="1"/>
      <c r="D2899" s="1"/>
      <c r="E2899" s="1"/>
    </row>
    <row r="2900" spans="3:5" ht="85.5" customHeight="1" x14ac:dyDescent="0.2">
      <c r="C2900" s="1"/>
      <c r="D2900" s="1"/>
      <c r="E2900" s="1"/>
    </row>
    <row r="2901" spans="3:5" ht="85.5" customHeight="1" x14ac:dyDescent="0.2">
      <c r="C2901" s="1"/>
      <c r="D2901" s="1"/>
      <c r="E2901" s="1"/>
    </row>
    <row r="2902" spans="3:5" ht="85.5" customHeight="1" x14ac:dyDescent="0.2">
      <c r="C2902" s="1"/>
      <c r="D2902" s="1"/>
      <c r="E2902" s="1"/>
    </row>
    <row r="2903" spans="3:5" ht="85.5" customHeight="1" x14ac:dyDescent="0.2">
      <c r="C2903" s="1"/>
      <c r="D2903" s="1"/>
      <c r="E2903" s="1"/>
    </row>
    <row r="2904" spans="3:5" ht="85.5" customHeight="1" x14ac:dyDescent="0.2">
      <c r="C2904" s="1"/>
      <c r="D2904" s="1"/>
      <c r="E2904" s="1"/>
    </row>
    <row r="2905" spans="3:5" ht="85.5" customHeight="1" x14ac:dyDescent="0.2">
      <c r="C2905" s="1"/>
      <c r="D2905" s="1"/>
      <c r="E2905" s="1"/>
    </row>
    <row r="2906" spans="3:5" ht="85.5" customHeight="1" x14ac:dyDescent="0.2"/>
    <row r="2907" spans="3:5" ht="85.5" customHeight="1" x14ac:dyDescent="0.2"/>
  </sheetData>
  <sheetProtection algorithmName="SHA-512" hashValue="AVMy20ZVAVtam2831ceNFpH0tuAJRNsLix/5byu4fPrUAUHVfAmBj3aabWeiaEk/9evkUnSokKrzHOpdt1/tqg==" saltValue="3vp7cdV4S6ja+V8Eo+TSWA==" spinCount="100000" sheet="1" objects="1" scenarios="1"/>
  <dataConsolidate/>
  <mergeCells count="2">
    <mergeCell ref="O36:P36"/>
    <mergeCell ref="O37:P37"/>
  </mergeCells>
  <conditionalFormatting sqref="A7:G8 I7:M8 O7:R8">
    <cfRule type="expression" dxfId="36" priority="1">
      <formula>OR( Branding = "YBR")</formula>
    </cfRule>
    <cfRule type="expression" dxfId="35" priority="2">
      <formula>OR( Branding = "Paramount")</formula>
    </cfRule>
    <cfRule type="expression" dxfId="34" priority="3">
      <formula>OR( Branding = "Thrive")</formula>
    </cfRule>
    <cfRule type="expression" dxfId="33" priority="4">
      <formula>OR( Branding = "WINWIN")</formula>
    </cfRule>
    <cfRule type="expression" dxfId="32" priority="5">
      <formula>OR( Branding = "RM")</formula>
    </cfRule>
    <cfRule type="expression" dxfId="31" priority="6">
      <formula>OR( Branding = "Go Beyond")</formula>
    </cfRule>
    <cfRule type="expression" dxfId="30" priority="7">
      <formula>OR( Branding = "AFG Align")</formula>
    </cfRule>
    <cfRule type="expression" dxfId="29" priority="8">
      <formula>OR( Branding = "AFG")</formula>
    </cfRule>
    <cfRule type="expression" dxfId="28" priority="9">
      <formula>OR( Branding = "CON")</formula>
    </cfRule>
  </conditionalFormatting>
  <printOptions horizontalCentered="1"/>
  <pageMargins left="0.36" right="0.27" top="1.1100000000000001" bottom="0.59055118110236227" header="0.51181102362204722" footer="0.51181102362204722"/>
  <pageSetup paperSize="9" scale="64" orientation="landscape" r:id="rId1"/>
  <headerFooter alignWithMargins="0">
    <oddFooter>&amp;F</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23</vt:i4>
      </vt:variant>
    </vt:vector>
  </HeadingPairs>
  <TitlesOfParts>
    <vt:vector size="34" baseType="lpstr">
      <vt:lpstr>Serviceability</vt:lpstr>
      <vt:lpstr>Applicants</vt:lpstr>
      <vt:lpstr>Loans</vt:lpstr>
      <vt:lpstr>Properties &amp; Ind Income</vt:lpstr>
      <vt:lpstr>Company Profit &amp; Loss</vt:lpstr>
      <vt:lpstr>Partnership Profit &amp; Loss</vt:lpstr>
      <vt:lpstr>Trust Profit &amp; Loss</vt:lpstr>
      <vt:lpstr>Sole Trader Profit &amp; Loss</vt:lpstr>
      <vt:lpstr>Balance Sheet</vt:lpstr>
      <vt:lpstr>SMSF Calculator</vt:lpstr>
      <vt:lpstr>Assumptions</vt:lpstr>
      <vt:lpstr>AllLogos</vt:lpstr>
      <vt:lpstr>ApplicationDate</vt:lpstr>
      <vt:lpstr>Branding</vt:lpstr>
      <vt:lpstr>CalculatorType</vt:lpstr>
      <vt:lpstr>Easyrefi</vt:lpstr>
      <vt:lpstr>FinancialsYear</vt:lpstr>
      <vt:lpstr>GST</vt:lpstr>
      <vt:lpstr>indirect</vt:lpstr>
      <vt:lpstr>LogoNames</vt:lpstr>
      <vt:lpstr>NCCL</vt:lpstr>
      <vt:lpstr>Applicants!Print_Area</vt:lpstr>
      <vt:lpstr>'Balance Sheet'!Print_Area</vt:lpstr>
      <vt:lpstr>'Company Profit &amp; Loss'!Print_Area</vt:lpstr>
      <vt:lpstr>Loans!Print_Area</vt:lpstr>
      <vt:lpstr>'Partnership Profit &amp; Loss'!Print_Area</vt:lpstr>
      <vt:lpstr>'Properties &amp; Ind Income'!Print_Area</vt:lpstr>
      <vt:lpstr>Serviceability!Print_Area</vt:lpstr>
      <vt:lpstr>'Sole Trader Profit &amp; Loss'!Print_Area</vt:lpstr>
      <vt:lpstr>'Trust Profit &amp; Loss'!Print_Area</vt:lpstr>
      <vt:lpstr>SaveFileName</vt:lpstr>
      <vt:lpstr>SMSF</vt:lpstr>
      <vt:lpstr>SMSFEasyRefi</vt:lpstr>
      <vt:lpstr>TopUpLoan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Zeng</dc:creator>
  <cp:lastModifiedBy>Christine Zeng</cp:lastModifiedBy>
  <dcterms:created xsi:type="dcterms:W3CDTF">2026-07-22T06:13:35Z</dcterms:created>
  <dcterms:modified xsi:type="dcterms:W3CDTF">2026-08-03T07:46:59Z</dcterms:modified>
</cp:coreProperties>
</file>