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docProps/app.xml" ContentType="application/vnd.openxmlformats-officedocument.extended-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T:\Servicing Calculations\External Master\"/>
    </mc:Choice>
  </mc:AlternateContent>
  <xr:revisionPtr revIDLastSave="0" documentId="13_ncr:1_{DB11B2D5-F7AD-49E4-B193-0D0AEAC7850B}" xr6:coauthVersionLast="47" xr6:coauthVersionMax="47" xr10:uidLastSave="{00000000-0000-0000-0000-000000000000}"/>
  <workbookProtection workbookAlgorithmName="SHA-512" workbookHashValue="9qJYUIaqwjuqy63I7csTLYp17DvUSsES5btjn27cmIoPmso33NU4A5qsNUAwgEmshvW+tM+npK4VBY79KBwgzQ==" workbookSaltValue="g1DUv7OwmVcBM2Q8DeLDwg==" workbookSpinCount="100000" lockStructure="1"/>
  <bookViews>
    <workbookView xWindow="-28920" yWindow="-120" windowWidth="29040" windowHeight="15720" xr2:uid="{8FA77891-C52C-4EF9-A6D4-82F7D663A393}"/>
  </bookViews>
  <sheets>
    <sheet name="Commercial ICR-DSCR Calculator" sheetId="4" r:id="rId1"/>
    <sheet name="SMSF ICR-DSCR Loan Calculator" sheetId="5" r:id="rId2"/>
    <sheet name="WALE Calculator" sheetId="6" r:id="rId3"/>
    <sheet name="Property Purchase Calculator" sheetId="7" r:id="rId4"/>
    <sheet name="Fee Calculator" sheetId="8" r:id="rId5"/>
    <sheet name="Fees" sheetId="11" state="hidden" r:id="rId6"/>
    <sheet name="Stamp Duty" sheetId="12" state="hidden" r:id="rId7"/>
  </sheets>
  <definedNames>
    <definedName name="AllLogos">#REF!</definedName>
    <definedName name="Branding">#REF!</definedName>
    <definedName name="CalculatorType">#REF!</definedName>
    <definedName name="ComBranding">'Commercial ICR-DSCR Calculator'!$AC$2</definedName>
    <definedName name="ComLogoLocation">'Commercial ICR-DSCR Calculator'!$B$31</definedName>
    <definedName name="ComLogoLookup">INDEX(AllLogos, MATCH(ComBranding,LogoNames,0))</definedName>
    <definedName name="ComSMSFLogoNames">#REF!</definedName>
    <definedName name="ComSMSFLogos">#REF!</definedName>
    <definedName name="ComVersion">'Commercial ICR-DSCR Calculator'!$AC$3</definedName>
    <definedName name="FeeBranding">'Fee Calculator'!$U$3</definedName>
    <definedName name="FeeLogoLocation">'Fee Calculator'!$H$14</definedName>
    <definedName name="FeeLogoLookup">INDEX(AllLogos, MATCH(FeeBranding,LogoNames,0))</definedName>
    <definedName name="FeeVersion">'Fee Calculator'!$U$5</definedName>
    <definedName name="GST">'SMSF ICR-DSCR Loan Calculator'!$AA$98</definedName>
    <definedName name="HEMVersion">#REF!</definedName>
    <definedName name="LogoNames">#REF!</definedName>
    <definedName name="LogoTable">#REF!</definedName>
    <definedName name="PPBranding">'Property Purchase Calculator'!$V$4</definedName>
    <definedName name="PPLogoLookup">INDEX(AllLogos, MATCH(PPBranding,LogoNames,0))</definedName>
    <definedName name="PPVersion">'Property Purchase Calculator'!$V$6</definedName>
    <definedName name="_xlnm.Print_Area" localSheetId="0">'Commercial ICR-DSCR Calculator'!$A$1:$Y$39</definedName>
    <definedName name="_xlnm.Print_Area" localSheetId="4">'Fee Calculator'!$A$1:$R$27</definedName>
    <definedName name="_xlnm.Print_Area" localSheetId="3">'Property Purchase Calculator'!$A$1:$S$44</definedName>
    <definedName name="_xlnm.Print_Area" localSheetId="2">'WALE Calculator'!$A$1:$O$38</definedName>
    <definedName name="ProLogoLocation">'Property Purchase Calculator'!$I$16</definedName>
    <definedName name="ResiBranding">#REF!</definedName>
    <definedName name="ResiLogoLookup">INDEX(AllLogos, MATCH(ResiBranding,LogoNames,0))</definedName>
    <definedName name="ResiVersion">#REF!</definedName>
    <definedName name="ResLogoLocation">#REF!</definedName>
    <definedName name="SaveFileName">#REF!</definedName>
    <definedName name="ScrollUpCell">#REF!</definedName>
    <definedName name="SheetsToInclude">#REF!</definedName>
    <definedName name="SMSF">'SMSF ICR-DSCR Loan Calculator'!$Z$98:$Z$99</definedName>
    <definedName name="SMSFBranding">'SMSF ICR-DSCR Loan Calculator'!$AB$2</definedName>
    <definedName name="SMSFLogolocation2">'SMSF ICR-DSCR Loan Calculator'!$P$1</definedName>
    <definedName name="SMSFLogoLookup">INDEX(AllLogos, MATCH(SMSFBranding,LogoNames,0))</definedName>
    <definedName name="SMSFLogoNames">#REF!</definedName>
    <definedName name="SMSFLogos">#REF!</definedName>
    <definedName name="SMSFLogoTable">#REF!</definedName>
    <definedName name="SMSFVersion">'SMSF ICR-DSCR Loan Calculator'!$AB$4</definedName>
    <definedName name="SMSLogoLocation">'SMSF ICR-DSCR Loan Calculator'!$P$55</definedName>
    <definedName name="WALEBranding">'WALE Calculator'!$AA$3</definedName>
    <definedName name="WALELogoLookup">INDEX(AllLogos, MATCH(WALEBranding,LogoNames,0))</definedName>
    <definedName name="WALEVersion">'WALE Calculator'!$AA$5</definedName>
    <definedName name="WALLogoLocation">'WALE Calculator'!$A$33</definedName>
    <definedName name="Whitelabels">#REF!</definedName>
    <definedName name="wrn.ca." localSheetId="0" hidden="1">{#N/A,#N/A,FALSE,"spread1";#N/A,#N/A,FALSE,"Cover";#N/A,#N/A,FALSE,"Summary";#N/A,#N/A,FALSE,"C&amp;C";#N/A,#N/A,FALSE,"spread2"}</definedName>
    <definedName name="wrn.ca." localSheetId="4" hidden="1">{#N/A,#N/A,FALSE,"spread1";#N/A,#N/A,FALSE,"Cover";#N/A,#N/A,FALSE,"Summary";#N/A,#N/A,FALSE,"C&amp;C";#N/A,#N/A,FALSE,"spread2"}</definedName>
    <definedName name="wrn.ca." localSheetId="3" hidden="1">{#N/A,#N/A,FALSE,"spread1";#N/A,#N/A,FALSE,"Cover";#N/A,#N/A,FALSE,"Summary";#N/A,#N/A,FALSE,"C&amp;C";#N/A,#N/A,FALSE,"spread2"}</definedName>
    <definedName name="wrn.ca." localSheetId="1" hidden="1">{#N/A,#N/A,FALSE,"spread1";#N/A,#N/A,FALSE,"Cover";#N/A,#N/A,FALSE,"Summary";#N/A,#N/A,FALSE,"C&amp;C";#N/A,#N/A,FALSE,"spread2"}</definedName>
    <definedName name="wrn.ca." localSheetId="2" hidden="1">{#N/A,#N/A,FALSE,"spread1";#N/A,#N/A,FALSE,"Cover";#N/A,#N/A,FALSE,"Summary";#N/A,#N/A,FALSE,"C&amp;C";#N/A,#N/A,FALSE,"spread2"}</definedName>
    <definedName name="wrn.ca." hidden="1">{#N/A,#N/A,FALSE,"spread1";#N/A,#N/A,FALSE,"Cover";#N/A,#N/A,FALSE,"Summary";#N/A,#N/A,FALSE,"C&amp;C";#N/A,#N/A,FALSE,"spread2"}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63" i="12" l="1"/>
  <c r="V163" i="12"/>
  <c r="L163" i="12"/>
  <c r="AF161" i="12"/>
  <c r="AK153" i="12" s="1"/>
  <c r="AL153" i="12" s="1"/>
  <c r="V161" i="12"/>
  <c r="B161" i="12"/>
  <c r="AG157" i="12"/>
  <c r="AI157" i="12" s="1"/>
  <c r="Y157" i="12"/>
  <c r="W157" i="12"/>
  <c r="M157" i="12"/>
  <c r="O157" i="12" s="1"/>
  <c r="C157" i="12"/>
  <c r="E157" i="12" s="1"/>
  <c r="AG156" i="12"/>
  <c r="AI156" i="12" s="1"/>
  <c r="W156" i="12"/>
  <c r="Y156" i="12" s="1"/>
  <c r="O156" i="12"/>
  <c r="M156" i="12"/>
  <c r="C156" i="12"/>
  <c r="E156" i="12" s="1"/>
  <c r="AG155" i="12"/>
  <c r="AI155" i="12" s="1"/>
  <c r="W155" i="12"/>
  <c r="Y155" i="12" s="1"/>
  <c r="M155" i="12"/>
  <c r="O155" i="12" s="1"/>
  <c r="C155" i="12"/>
  <c r="E155" i="12" s="1"/>
  <c r="AG154" i="12"/>
  <c r="AI154" i="12" s="1"/>
  <c r="W154" i="12"/>
  <c r="Y154" i="12" s="1"/>
  <c r="M154" i="12"/>
  <c r="O154" i="12" s="1"/>
  <c r="C154" i="12"/>
  <c r="E154" i="12" s="1"/>
  <c r="AG153" i="12"/>
  <c r="AI153" i="12" s="1"/>
  <c r="W153" i="12"/>
  <c r="Y153" i="12" s="1"/>
  <c r="M153" i="12"/>
  <c r="O153" i="12" s="1"/>
  <c r="C153" i="12"/>
  <c r="E153" i="12" s="1"/>
  <c r="AG152" i="12"/>
  <c r="AI152" i="12" s="1"/>
  <c r="AA152" i="12"/>
  <c r="W152" i="12"/>
  <c r="Y152" i="12" s="1"/>
  <c r="M152" i="12"/>
  <c r="O152" i="12" s="1"/>
  <c r="C152" i="12"/>
  <c r="E152" i="12" s="1"/>
  <c r="AG151" i="12"/>
  <c r="AI151" i="12" s="1"/>
  <c r="W151" i="12"/>
  <c r="Y151" i="12" s="1"/>
  <c r="M151" i="12"/>
  <c r="O151" i="12" s="1"/>
  <c r="C151" i="12"/>
  <c r="E151" i="12" s="1"/>
  <c r="AG150" i="12"/>
  <c r="AI150" i="12" s="1"/>
  <c r="AJ150" i="12" s="1"/>
  <c r="W150" i="12"/>
  <c r="Y150" i="12" s="1"/>
  <c r="Z150" i="12" s="1"/>
  <c r="M150" i="12"/>
  <c r="O150" i="12" s="1"/>
  <c r="P150" i="12" s="1"/>
  <c r="C150" i="12"/>
  <c r="E150" i="12" s="1"/>
  <c r="F150" i="12" s="1"/>
  <c r="AJ149" i="12"/>
  <c r="Z149" i="12"/>
  <c r="P149" i="12"/>
  <c r="F149" i="12"/>
  <c r="AM148" i="12"/>
  <c r="AH11" i="12" s="1"/>
  <c r="AC148" i="12"/>
  <c r="S148" i="12"/>
  <c r="AF141" i="12"/>
  <c r="AF142" i="12" s="1"/>
  <c r="AM126" i="12" s="1"/>
  <c r="V141" i="12"/>
  <c r="V142" i="12" s="1"/>
  <c r="AC126" i="12" s="1"/>
  <c r="X15" i="12" s="1"/>
  <c r="L141" i="12"/>
  <c r="L142" i="12" s="1"/>
  <c r="S126" i="12" s="1"/>
  <c r="AF139" i="12"/>
  <c r="AK130" i="12" s="1"/>
  <c r="AL130" i="12" s="1"/>
  <c r="V139" i="12"/>
  <c r="AB128" i="12" s="1"/>
  <c r="B139" i="12"/>
  <c r="V136" i="12"/>
  <c r="W136" i="12" s="1"/>
  <c r="Y136" i="12" s="1"/>
  <c r="AG135" i="12"/>
  <c r="AI135" i="12" s="1"/>
  <c r="W135" i="12"/>
  <c r="Y135" i="12" s="1"/>
  <c r="M135" i="12"/>
  <c r="O135" i="12" s="1"/>
  <c r="E135" i="12"/>
  <c r="C135" i="12"/>
  <c r="AG134" i="12"/>
  <c r="AI134" i="12" s="1"/>
  <c r="W134" i="12"/>
  <c r="Y134" i="12" s="1"/>
  <c r="M134" i="12"/>
  <c r="O134" i="12" s="1"/>
  <c r="C134" i="12"/>
  <c r="E134" i="12" s="1"/>
  <c r="AG133" i="12"/>
  <c r="AI133" i="12" s="1"/>
  <c r="Y133" i="12"/>
  <c r="W133" i="12"/>
  <c r="M133" i="12"/>
  <c r="O133" i="12" s="1"/>
  <c r="G133" i="12"/>
  <c r="H133" i="12" s="1"/>
  <c r="C133" i="12"/>
  <c r="E133" i="12" s="1"/>
  <c r="AG132" i="12"/>
  <c r="AI132" i="12" s="1"/>
  <c r="AA132" i="12"/>
  <c r="AB132" i="12" s="1"/>
  <c r="Y132" i="12"/>
  <c r="W132" i="12"/>
  <c r="O132" i="12"/>
  <c r="M132" i="12"/>
  <c r="E132" i="12"/>
  <c r="C132" i="12"/>
  <c r="AG131" i="12"/>
  <c r="AI131" i="12" s="1"/>
  <c r="W131" i="12"/>
  <c r="Y131" i="12" s="1"/>
  <c r="M131" i="12"/>
  <c r="O131" i="12" s="1"/>
  <c r="E131" i="12"/>
  <c r="C131" i="12"/>
  <c r="AG130" i="12"/>
  <c r="AI130" i="12" s="1"/>
  <c r="W130" i="12"/>
  <c r="Y130" i="12" s="1"/>
  <c r="M130" i="12"/>
  <c r="C130" i="12"/>
  <c r="E130" i="12" s="1"/>
  <c r="AI129" i="12"/>
  <c r="AG129" i="12"/>
  <c r="W129" i="12"/>
  <c r="Y129" i="12" s="1"/>
  <c r="O129" i="12"/>
  <c r="M129" i="12"/>
  <c r="C129" i="12"/>
  <c r="E129" i="12" s="1"/>
  <c r="AG128" i="12"/>
  <c r="AI128" i="12" s="1"/>
  <c r="AJ128" i="12" s="1"/>
  <c r="W128" i="12"/>
  <c r="Y128" i="12" s="1"/>
  <c r="Z128" i="12" s="1"/>
  <c r="M128" i="12"/>
  <c r="O128" i="12" s="1"/>
  <c r="P128" i="12" s="1"/>
  <c r="C128" i="12"/>
  <c r="E128" i="12" s="1"/>
  <c r="F128" i="12" s="1"/>
  <c r="AJ127" i="12"/>
  <c r="Z127" i="12"/>
  <c r="P127" i="12"/>
  <c r="F127" i="12"/>
  <c r="AF120" i="12"/>
  <c r="AM104" i="12" s="1"/>
  <c r="AH17" i="12" s="1"/>
  <c r="AF119" i="12"/>
  <c r="V119" i="12"/>
  <c r="V120" i="12" s="1"/>
  <c r="L119" i="12"/>
  <c r="L120" i="12" s="1"/>
  <c r="S104" i="12" s="1"/>
  <c r="AF117" i="12"/>
  <c r="AK111" i="12" s="1"/>
  <c r="AL111" i="12" s="1"/>
  <c r="V117" i="12"/>
  <c r="L117" i="12"/>
  <c r="Q107" i="12" s="1"/>
  <c r="R107" i="12" s="1"/>
  <c r="B117" i="12"/>
  <c r="L114" i="12"/>
  <c r="M114" i="12" s="1"/>
  <c r="O114" i="12" s="1"/>
  <c r="G114" i="12"/>
  <c r="H114" i="12" s="1"/>
  <c r="B114" i="12"/>
  <c r="G113" i="12" s="1"/>
  <c r="H113" i="12" s="1"/>
  <c r="AG113" i="12"/>
  <c r="AI113" i="12" s="1"/>
  <c r="W113" i="12"/>
  <c r="Y113" i="12" s="1"/>
  <c r="M113" i="12"/>
  <c r="O113" i="12" s="1"/>
  <c r="E113" i="12"/>
  <c r="C113" i="12"/>
  <c r="AG112" i="12"/>
  <c r="AI112" i="12" s="1"/>
  <c r="W112" i="12"/>
  <c r="Y112" i="12" s="1"/>
  <c r="M112" i="12"/>
  <c r="O112" i="12" s="1"/>
  <c r="G112" i="12"/>
  <c r="H112" i="12" s="1"/>
  <c r="C112" i="12"/>
  <c r="E112" i="12" s="1"/>
  <c r="AG111" i="12"/>
  <c r="AI111" i="12" s="1"/>
  <c r="W111" i="12"/>
  <c r="Y111" i="12" s="1"/>
  <c r="M111" i="12"/>
  <c r="O111" i="12" s="1"/>
  <c r="H111" i="12"/>
  <c r="G111" i="12"/>
  <c r="E111" i="12"/>
  <c r="C111" i="12"/>
  <c r="AG110" i="12"/>
  <c r="AI110" i="12" s="1"/>
  <c r="Y110" i="12"/>
  <c r="W110" i="12"/>
  <c r="M110" i="12"/>
  <c r="G110" i="12"/>
  <c r="H110" i="12" s="1"/>
  <c r="C110" i="12"/>
  <c r="E110" i="12" s="1"/>
  <c r="AG109" i="12"/>
  <c r="AI109" i="12" s="1"/>
  <c r="W109" i="12"/>
  <c r="Y109" i="12" s="1"/>
  <c r="Q109" i="12"/>
  <c r="M109" i="12"/>
  <c r="G109" i="12"/>
  <c r="C109" i="12"/>
  <c r="E109" i="12" s="1"/>
  <c r="AG108" i="12"/>
  <c r="AI108" i="12" s="1"/>
  <c r="AA108" i="12"/>
  <c r="AB108" i="12" s="1"/>
  <c r="W108" i="12"/>
  <c r="Y108" i="12" s="1"/>
  <c r="M108" i="12"/>
  <c r="H108" i="12"/>
  <c r="G108" i="12"/>
  <c r="C108" i="12"/>
  <c r="E108" i="12" s="1"/>
  <c r="AI107" i="12"/>
  <c r="AG107" i="12"/>
  <c r="AA107" i="12"/>
  <c r="AB107" i="12" s="1"/>
  <c r="W107" i="12"/>
  <c r="Y107" i="12" s="1"/>
  <c r="M107" i="12"/>
  <c r="G107" i="12"/>
  <c r="H107" i="12" s="1"/>
  <c r="C107" i="12"/>
  <c r="E107" i="12" s="1"/>
  <c r="AJ106" i="12"/>
  <c r="AG106" i="12"/>
  <c r="AI106" i="12" s="1"/>
  <c r="Y106" i="12"/>
  <c r="Z106" i="12" s="1"/>
  <c r="W106" i="12"/>
  <c r="N106" i="12"/>
  <c r="M106" i="12"/>
  <c r="G106" i="12"/>
  <c r="H106" i="12" s="1"/>
  <c r="C106" i="12"/>
  <c r="E106" i="12" s="1"/>
  <c r="F106" i="12" s="1"/>
  <c r="AJ105" i="12"/>
  <c r="Z105" i="12"/>
  <c r="Q105" i="12"/>
  <c r="R105" i="12" s="1"/>
  <c r="P105" i="12"/>
  <c r="H105" i="12"/>
  <c r="G105" i="12"/>
  <c r="F105" i="12"/>
  <c r="AC104" i="12"/>
  <c r="AF97" i="12"/>
  <c r="AF98" i="12" s="1"/>
  <c r="AM82" i="12" s="1"/>
  <c r="V97" i="12"/>
  <c r="V98" i="12" s="1"/>
  <c r="AC82" i="12" s="1"/>
  <c r="L97" i="12"/>
  <c r="L98" i="12" s="1"/>
  <c r="S82" i="12" s="1"/>
  <c r="AF95" i="12"/>
  <c r="V95" i="12"/>
  <c r="L95" i="12"/>
  <c r="Q90" i="12" s="1"/>
  <c r="R90" i="12" s="1"/>
  <c r="B95" i="12"/>
  <c r="G83" i="12" s="1"/>
  <c r="V92" i="12"/>
  <c r="W92" i="12" s="1"/>
  <c r="Y92" i="12" s="1"/>
  <c r="Q92" i="12"/>
  <c r="R92" i="12" s="1"/>
  <c r="AI91" i="12"/>
  <c r="AG91" i="12"/>
  <c r="Y91" i="12"/>
  <c r="W91" i="12"/>
  <c r="M91" i="12"/>
  <c r="O91" i="12" s="1"/>
  <c r="C91" i="12"/>
  <c r="E91" i="12" s="1"/>
  <c r="AG90" i="12"/>
  <c r="AI90" i="12" s="1"/>
  <c r="W90" i="12"/>
  <c r="Y90" i="12" s="1"/>
  <c r="M90" i="12"/>
  <c r="O90" i="12" s="1"/>
  <c r="E90" i="12"/>
  <c r="C90" i="12"/>
  <c r="AG89" i="12"/>
  <c r="AI89" i="12" s="1"/>
  <c r="AA89" i="12"/>
  <c r="AB89" i="12" s="1"/>
  <c r="Y89" i="12"/>
  <c r="W89" i="12"/>
  <c r="M89" i="12"/>
  <c r="O89" i="12" s="1"/>
  <c r="E89" i="12"/>
  <c r="C89" i="12"/>
  <c r="AG88" i="12"/>
  <c r="AI88" i="12" s="1"/>
  <c r="AA88" i="12"/>
  <c r="AB88" i="12" s="1"/>
  <c r="W88" i="12"/>
  <c r="Y88" i="12" s="1"/>
  <c r="O88" i="12"/>
  <c r="M88" i="12"/>
  <c r="C88" i="12"/>
  <c r="E88" i="12" s="1"/>
  <c r="AG87" i="12"/>
  <c r="AI87" i="12" s="1"/>
  <c r="AA87" i="12"/>
  <c r="AB87" i="12" s="1"/>
  <c r="W87" i="12"/>
  <c r="Y87" i="12" s="1"/>
  <c r="M87" i="12"/>
  <c r="O87" i="12" s="1"/>
  <c r="C87" i="12"/>
  <c r="E87" i="12" s="1"/>
  <c r="AK86" i="12"/>
  <c r="AL86" i="12" s="1"/>
  <c r="AG86" i="12"/>
  <c r="AI86" i="12" s="1"/>
  <c r="Y86" i="12"/>
  <c r="W86" i="12"/>
  <c r="O86" i="12"/>
  <c r="M86" i="12"/>
  <c r="G86" i="12"/>
  <c r="H86" i="12" s="1"/>
  <c r="C86" i="12"/>
  <c r="E86" i="12" s="1"/>
  <c r="AG85" i="12"/>
  <c r="AI85" i="12" s="1"/>
  <c r="AA85" i="12"/>
  <c r="AB85" i="12" s="1"/>
  <c r="Y85" i="12"/>
  <c r="W85" i="12"/>
  <c r="M85" i="12"/>
  <c r="O85" i="12" s="1"/>
  <c r="P85" i="12" s="1"/>
  <c r="C85" i="12"/>
  <c r="E85" i="12" s="1"/>
  <c r="AL84" i="12"/>
  <c r="AK84" i="12"/>
  <c r="AG84" i="12"/>
  <c r="AI84" i="12" s="1"/>
  <c r="AJ84" i="12" s="1"/>
  <c r="AJ85" i="12" s="1"/>
  <c r="W84" i="12"/>
  <c r="Y84" i="12" s="1"/>
  <c r="Z84" i="12" s="1"/>
  <c r="M84" i="12"/>
  <c r="O84" i="12" s="1"/>
  <c r="P84" i="12" s="1"/>
  <c r="E84" i="12"/>
  <c r="F84" i="12" s="1"/>
  <c r="C84" i="12"/>
  <c r="AJ83" i="12"/>
  <c r="AA83" i="12"/>
  <c r="Z83" i="12"/>
  <c r="P83" i="12"/>
  <c r="F83" i="12"/>
  <c r="L75" i="12"/>
  <c r="B73" i="12"/>
  <c r="AK70" i="12"/>
  <c r="AL70" i="12" s="1"/>
  <c r="AJ70" i="12"/>
  <c r="AI70" i="12"/>
  <c r="AF70" i="12"/>
  <c r="AG70" i="12" s="1"/>
  <c r="AA70" i="12"/>
  <c r="AB70" i="12" s="1"/>
  <c r="Y70" i="12"/>
  <c r="Z70" i="12" s="1"/>
  <c r="V70" i="12"/>
  <c r="W70" i="12" s="1"/>
  <c r="L70" i="12"/>
  <c r="M70" i="12" s="1"/>
  <c r="AG69" i="12"/>
  <c r="AI69" i="12" s="1"/>
  <c r="W69" i="12"/>
  <c r="Y69" i="12" s="1"/>
  <c r="O69" i="12"/>
  <c r="M69" i="12"/>
  <c r="C69" i="12"/>
  <c r="E69" i="12" s="1"/>
  <c r="AK68" i="12"/>
  <c r="AL68" i="12" s="1"/>
  <c r="AG68" i="12"/>
  <c r="AI68" i="12" s="1"/>
  <c r="AB68" i="12"/>
  <c r="AA68" i="12"/>
  <c r="W68" i="12"/>
  <c r="Y68" i="12" s="1"/>
  <c r="M68" i="12"/>
  <c r="O68" i="12" s="1"/>
  <c r="C68" i="12"/>
  <c r="E68" i="12" s="1"/>
  <c r="AK67" i="12"/>
  <c r="AL67" i="12" s="1"/>
  <c r="AG67" i="12"/>
  <c r="AI67" i="12" s="1"/>
  <c r="AB67" i="12"/>
  <c r="AA67" i="12"/>
  <c r="W67" i="12"/>
  <c r="Y67" i="12" s="1"/>
  <c r="O67" i="12"/>
  <c r="M67" i="12"/>
  <c r="C67" i="12"/>
  <c r="E67" i="12" s="1"/>
  <c r="AK66" i="12"/>
  <c r="AG66" i="12"/>
  <c r="AI66" i="12" s="1"/>
  <c r="AA66" i="12"/>
  <c r="W66" i="12"/>
  <c r="M66" i="12"/>
  <c r="C66" i="12"/>
  <c r="AK65" i="12"/>
  <c r="AL65" i="12" s="1"/>
  <c r="AH65" i="12"/>
  <c r="AH66" i="12" s="1"/>
  <c r="AG65" i="12"/>
  <c r="AA65" i="12"/>
  <c r="AB65" i="12" s="1"/>
  <c r="W65" i="12"/>
  <c r="Y65" i="12" s="1"/>
  <c r="N65" i="12"/>
  <c r="N66" i="12" s="1"/>
  <c r="M65" i="12"/>
  <c r="C65" i="12"/>
  <c r="AK64" i="12"/>
  <c r="AL64" i="12" s="1"/>
  <c r="AH64" i="12"/>
  <c r="AG64" i="12"/>
  <c r="AA64" i="12"/>
  <c r="AB64" i="12" s="1"/>
  <c r="X64" i="12"/>
  <c r="X65" i="12" s="1"/>
  <c r="X66" i="12" s="1"/>
  <c r="W64" i="12"/>
  <c r="N64" i="12"/>
  <c r="M64" i="12"/>
  <c r="O64" i="12" s="1"/>
  <c r="P64" i="12" s="1"/>
  <c r="D64" i="12"/>
  <c r="D65" i="12" s="1"/>
  <c r="D66" i="12" s="1"/>
  <c r="C64" i="12"/>
  <c r="AK63" i="12"/>
  <c r="AL63" i="12" s="1"/>
  <c r="AJ63" i="12"/>
  <c r="AA63" i="12"/>
  <c r="AB63" i="12" s="1"/>
  <c r="Z63" i="12"/>
  <c r="P63" i="12"/>
  <c r="F63" i="12"/>
  <c r="AM62" i="12"/>
  <c r="AC62" i="12"/>
  <c r="X16" i="12" s="1"/>
  <c r="S62" i="12"/>
  <c r="AF55" i="12"/>
  <c r="AF56" i="12" s="1"/>
  <c r="V55" i="12"/>
  <c r="V56" i="12" s="1"/>
  <c r="L55" i="12"/>
  <c r="L56" i="12" s="1"/>
  <c r="S42" i="12" s="1"/>
  <c r="AF53" i="12"/>
  <c r="V53" i="12"/>
  <c r="B53" i="12"/>
  <c r="X50" i="12"/>
  <c r="AH50" i="12" s="1"/>
  <c r="C49" i="12"/>
  <c r="E49" i="12" s="1"/>
  <c r="G48" i="12"/>
  <c r="H48" i="12" s="1"/>
  <c r="E48" i="12"/>
  <c r="C48" i="12"/>
  <c r="N47" i="12"/>
  <c r="L47" i="12"/>
  <c r="C47" i="12"/>
  <c r="E47" i="12" s="1"/>
  <c r="AH46" i="12"/>
  <c r="X46" i="12"/>
  <c r="V46" i="12"/>
  <c r="AF46" i="12" s="1"/>
  <c r="M46" i="12"/>
  <c r="O46" i="12" s="1"/>
  <c r="C46" i="12"/>
  <c r="E46" i="12" s="1"/>
  <c r="AH45" i="12"/>
  <c r="AF45" i="12"/>
  <c r="X45" i="12"/>
  <c r="V45" i="12"/>
  <c r="M45" i="12"/>
  <c r="O45" i="12" s="1"/>
  <c r="P45" i="12" s="1"/>
  <c r="C45" i="12"/>
  <c r="E45" i="12" s="1"/>
  <c r="X44" i="12"/>
  <c r="AH44" i="12" s="1"/>
  <c r="V44" i="12"/>
  <c r="W45" i="12" s="1"/>
  <c r="Y45" i="12" s="1"/>
  <c r="M44" i="12"/>
  <c r="O44" i="12" s="1"/>
  <c r="P44" i="12" s="1"/>
  <c r="C44" i="12"/>
  <c r="E44" i="12" s="1"/>
  <c r="F44" i="12" s="1"/>
  <c r="AJ43" i="12"/>
  <c r="Z43" i="12"/>
  <c r="X43" i="12"/>
  <c r="AH43" i="12" s="1"/>
  <c r="V43" i="12"/>
  <c r="AF43" i="12" s="1"/>
  <c r="P43" i="12"/>
  <c r="F43" i="12"/>
  <c r="AM42" i="12"/>
  <c r="AC42" i="12"/>
  <c r="X13" i="12" s="1"/>
  <c r="AF35" i="12"/>
  <c r="AF36" i="12" s="1"/>
  <c r="V35" i="12"/>
  <c r="V36" i="12" s="1"/>
  <c r="AC22" i="12" s="1"/>
  <c r="X12" i="12" s="1"/>
  <c r="L35" i="12"/>
  <c r="L36" i="12" s="1"/>
  <c r="AF33" i="12"/>
  <c r="AK25" i="12" s="1"/>
  <c r="AL25" i="12" s="1"/>
  <c r="V33" i="12"/>
  <c r="AA24" i="12" s="1"/>
  <c r="AB24" i="12" s="1"/>
  <c r="L33" i="12"/>
  <c r="B33" i="12"/>
  <c r="B30" i="12" s="1"/>
  <c r="G29" i="12" s="1"/>
  <c r="H29" i="12" s="1"/>
  <c r="AH30" i="12"/>
  <c r="AA30" i="12"/>
  <c r="AB30" i="12" s="1"/>
  <c r="X30" i="12"/>
  <c r="Q30" i="12"/>
  <c r="R30" i="12" s="1"/>
  <c r="G30" i="12"/>
  <c r="H30" i="12" s="1"/>
  <c r="D30" i="12"/>
  <c r="AG29" i="12"/>
  <c r="AI29" i="12" s="1"/>
  <c r="Y29" i="12"/>
  <c r="W29" i="12"/>
  <c r="M29" i="12"/>
  <c r="O29" i="12" s="1"/>
  <c r="C29" i="12"/>
  <c r="E29" i="12" s="1"/>
  <c r="AG28" i="12"/>
  <c r="AI28" i="12" s="1"/>
  <c r="AA28" i="12"/>
  <c r="AB28" i="12" s="1"/>
  <c r="Y28" i="12"/>
  <c r="W28" i="12"/>
  <c r="M28" i="12"/>
  <c r="O28" i="12" s="1"/>
  <c r="G28" i="12"/>
  <c r="H28" i="12" s="1"/>
  <c r="C28" i="12"/>
  <c r="E28" i="12" s="1"/>
  <c r="AG27" i="12"/>
  <c r="AI27" i="12" s="1"/>
  <c r="AA27" i="12"/>
  <c r="AB27" i="12" s="1"/>
  <c r="Y27" i="12"/>
  <c r="W27" i="12"/>
  <c r="Q27" i="12"/>
  <c r="R27" i="12" s="1"/>
  <c r="M27" i="12"/>
  <c r="O27" i="12" s="1"/>
  <c r="G27" i="12"/>
  <c r="H27" i="12" s="1"/>
  <c r="E27" i="12"/>
  <c r="C27" i="12"/>
  <c r="AG26" i="12"/>
  <c r="AI26" i="12" s="1"/>
  <c r="AB26" i="12"/>
  <c r="AA26" i="12"/>
  <c r="Y26" i="12"/>
  <c r="W26" i="12"/>
  <c r="Q26" i="12"/>
  <c r="R26" i="12" s="1"/>
  <c r="M26" i="12"/>
  <c r="O26" i="12" s="1"/>
  <c r="G26" i="12"/>
  <c r="H26" i="12" s="1"/>
  <c r="C26" i="12"/>
  <c r="E26" i="12" s="1"/>
  <c r="F26" i="12" s="1"/>
  <c r="AG25" i="12"/>
  <c r="AI25" i="12" s="1"/>
  <c r="Y25" i="12"/>
  <c r="W25" i="12"/>
  <c r="Q25" i="12"/>
  <c r="R25" i="12" s="1"/>
  <c r="M25" i="12"/>
  <c r="O25" i="12" s="1"/>
  <c r="P25" i="12" s="1"/>
  <c r="G25" i="12"/>
  <c r="H25" i="12" s="1"/>
  <c r="C25" i="12"/>
  <c r="E25" i="12" s="1"/>
  <c r="F25" i="12" s="1"/>
  <c r="AG24" i="12"/>
  <c r="AI24" i="12" s="1"/>
  <c r="AJ24" i="12" s="1"/>
  <c r="AJ25" i="12" s="1"/>
  <c r="W24" i="12"/>
  <c r="Y24" i="12" s="1"/>
  <c r="Z24" i="12" s="1"/>
  <c r="Q24" i="12"/>
  <c r="R24" i="12" s="1"/>
  <c r="M24" i="12"/>
  <c r="O24" i="12" s="1"/>
  <c r="P24" i="12" s="1"/>
  <c r="G24" i="12"/>
  <c r="H24" i="12" s="1"/>
  <c r="C24" i="12"/>
  <c r="E24" i="12" s="1"/>
  <c r="F24" i="12" s="1"/>
  <c r="AK23" i="12"/>
  <c r="AL23" i="12" s="1"/>
  <c r="AJ23" i="12"/>
  <c r="AA23" i="12"/>
  <c r="Z23" i="12"/>
  <c r="P23" i="12"/>
  <c r="G23" i="12"/>
  <c r="F23" i="12"/>
  <c r="AM22" i="12"/>
  <c r="AH12" i="12" s="1"/>
  <c r="S22" i="12"/>
  <c r="X17" i="12"/>
  <c r="D17" i="12"/>
  <c r="AH16" i="12"/>
  <c r="D16" i="12"/>
  <c r="AH15" i="12"/>
  <c r="D15" i="12"/>
  <c r="AH14" i="12"/>
  <c r="X14" i="12"/>
  <c r="D14" i="12"/>
  <c r="AH13" i="12"/>
  <c r="D13" i="12"/>
  <c r="X11" i="12"/>
  <c r="D11" i="12"/>
  <c r="D8" i="12"/>
  <c r="B55" i="12" s="1"/>
  <c r="B56" i="12" s="1"/>
  <c r="AI7" i="12"/>
  <c r="Y7" i="12"/>
  <c r="N7" i="12"/>
  <c r="L139" i="12" s="1"/>
  <c r="N6" i="12"/>
  <c r="O7" i="12" s="1"/>
  <c r="D6" i="12"/>
  <c r="E6" i="12" s="1"/>
  <c r="D2" i="12" s="1"/>
  <c r="N2" i="12"/>
  <c r="D47" i="11"/>
  <c r="C47" i="11"/>
  <c r="D46" i="11"/>
  <c r="C46" i="11"/>
  <c r="D45" i="11"/>
  <c r="C45" i="11"/>
  <c r="D44" i="11"/>
  <c r="C44" i="11"/>
  <c r="T36" i="11"/>
  <c r="R36" i="11"/>
  <c r="S36" i="11" s="1"/>
  <c r="M36" i="11"/>
  <c r="H36" i="11"/>
  <c r="I36" i="11" s="1"/>
  <c r="J36" i="11" s="1"/>
  <c r="C36" i="11"/>
  <c r="E36" i="11" s="1"/>
  <c r="D35" i="11"/>
  <c r="C35" i="11"/>
  <c r="H35" i="11" s="1"/>
  <c r="M35" i="11" s="1"/>
  <c r="N35" i="11" s="1"/>
  <c r="M34" i="11"/>
  <c r="N34" i="11" s="1"/>
  <c r="D34" i="11"/>
  <c r="C34" i="11"/>
  <c r="H34" i="11" s="1"/>
  <c r="H33" i="11"/>
  <c r="I33" i="11" s="1"/>
  <c r="D33" i="11"/>
  <c r="C33" i="11" s="1"/>
  <c r="D32" i="11"/>
  <c r="C32" i="11"/>
  <c r="H32" i="11" s="1"/>
  <c r="D31" i="11"/>
  <c r="C31" i="11" s="1"/>
  <c r="H31" i="11" s="1"/>
  <c r="D30" i="11"/>
  <c r="C30" i="11" s="1"/>
  <c r="H30" i="11" s="1"/>
  <c r="M29" i="11"/>
  <c r="D29" i="11"/>
  <c r="C29" i="11"/>
  <c r="H29" i="11" s="1"/>
  <c r="I29" i="11" s="1"/>
  <c r="J29" i="11" s="1"/>
  <c r="O26" i="11"/>
  <c r="J26" i="11"/>
  <c r="T26" i="11" s="1"/>
  <c r="N25" i="11"/>
  <c r="J25" i="11"/>
  <c r="O25" i="11" s="1"/>
  <c r="T25" i="11" s="1"/>
  <c r="I25" i="11"/>
  <c r="C25" i="11"/>
  <c r="W24" i="11"/>
  <c r="T24" i="11" s="1"/>
  <c r="S24" i="11" s="1"/>
  <c r="R24" i="11" s="1"/>
  <c r="T23" i="11"/>
  <c r="S23" i="11"/>
  <c r="R23" i="11"/>
  <c r="J22" i="11"/>
  <c r="I22" i="11" s="1"/>
  <c r="H22" i="11" s="1"/>
  <c r="Y21" i="11"/>
  <c r="Y22" i="11" s="1"/>
  <c r="Y23" i="11" s="1"/>
  <c r="Y24" i="11" s="1"/>
  <c r="X21" i="11"/>
  <c r="X22" i="11" s="1"/>
  <c r="X23" i="11" s="1"/>
  <c r="X24" i="11" s="1"/>
  <c r="R21" i="11"/>
  <c r="O21" i="11"/>
  <c r="N21" i="11" s="1"/>
  <c r="M21" i="11" s="1"/>
  <c r="J21" i="11"/>
  <c r="I21" i="11"/>
  <c r="H21" i="11" s="1"/>
  <c r="X20" i="11"/>
  <c r="T20" i="11"/>
  <c r="S20" i="11" s="1"/>
  <c r="R20" i="11" s="1"/>
  <c r="J20" i="11"/>
  <c r="I20" i="11" s="1"/>
  <c r="H20" i="11" s="1"/>
  <c r="E20" i="11"/>
  <c r="D20" i="11" s="1"/>
  <c r="C20" i="11" s="1"/>
  <c r="J19" i="11"/>
  <c r="O19" i="11" s="1"/>
  <c r="D19" i="11"/>
  <c r="C19" i="11" s="1"/>
  <c r="T17" i="11"/>
  <c r="S17" i="11"/>
  <c r="T21" i="11" s="1"/>
  <c r="S21" i="11" s="1"/>
  <c r="O17" i="11"/>
  <c r="N17" i="11"/>
  <c r="J17" i="11"/>
  <c r="I17" i="11"/>
  <c r="E17" i="11"/>
  <c r="D17" i="11"/>
  <c r="R15" i="11"/>
  <c r="M15" i="11"/>
  <c r="H15" i="11"/>
  <c r="S14" i="11"/>
  <c r="T14" i="11" s="1"/>
  <c r="S13" i="11"/>
  <c r="T13" i="11" s="1"/>
  <c r="C13" i="11"/>
  <c r="C14" i="11" s="1"/>
  <c r="S12" i="11"/>
  <c r="T12" i="11" s="1"/>
  <c r="C12" i="11"/>
  <c r="S11" i="11"/>
  <c r="T11" i="11" s="1"/>
  <c r="C11" i="11"/>
  <c r="H11" i="11" s="1"/>
  <c r="S10" i="11"/>
  <c r="T10" i="11" s="1"/>
  <c r="C10" i="11"/>
  <c r="H10" i="11" s="1"/>
  <c r="I10" i="11" s="1"/>
  <c r="S9" i="11"/>
  <c r="T9" i="11" s="1"/>
  <c r="H9" i="11"/>
  <c r="C9" i="11"/>
  <c r="D9" i="11" s="1"/>
  <c r="E9" i="11" s="1"/>
  <c r="S8" i="11"/>
  <c r="T8" i="11" s="1"/>
  <c r="D8" i="11"/>
  <c r="C8" i="11"/>
  <c r="S7" i="11"/>
  <c r="T7" i="11" s="1"/>
  <c r="C7" i="11"/>
  <c r="S6" i="11"/>
  <c r="T6" i="11" s="1"/>
  <c r="C6" i="11"/>
  <c r="H6" i="11" s="1"/>
  <c r="M5" i="11"/>
  <c r="H5" i="11"/>
  <c r="D5" i="11"/>
  <c r="E5" i="11" s="1"/>
  <c r="B43" i="8"/>
  <c r="C41" i="8"/>
  <c r="B41" i="8"/>
  <c r="C40" i="8"/>
  <c r="B40" i="8"/>
  <c r="C19" i="8" s="1"/>
  <c r="C31" i="8"/>
  <c r="C30" i="8"/>
  <c r="N24" i="8"/>
  <c r="B24" i="8"/>
  <c r="K20" i="8"/>
  <c r="H20" i="8"/>
  <c r="E20" i="8"/>
  <c r="B20" i="8"/>
  <c r="B19" i="8"/>
  <c r="C18" i="8"/>
  <c r="B18" i="8"/>
  <c r="Q15" i="8"/>
  <c r="S14" i="8"/>
  <c r="S13" i="8"/>
  <c r="Q13" i="8"/>
  <c r="E13" i="8"/>
  <c r="E32" i="8" s="1"/>
  <c r="C32" i="8" s="1"/>
  <c r="S12" i="8"/>
  <c r="V11" i="8"/>
  <c r="V10" i="8"/>
  <c r="V9" i="8"/>
  <c r="Q9" i="8"/>
  <c r="N9" i="8"/>
  <c r="H8" i="8"/>
  <c r="N7" i="8"/>
  <c r="I6" i="8"/>
  <c r="H3" i="8"/>
  <c r="H6" i="8"/>
  <c r="B54" i="7"/>
  <c r="C52" i="7"/>
  <c r="B52" i="7"/>
  <c r="D28" i="7" s="1"/>
  <c r="D29" i="7" s="1"/>
  <c r="C51" i="7"/>
  <c r="B51" i="7"/>
  <c r="C48" i="7"/>
  <c r="C47" i="7"/>
  <c r="R35" i="7"/>
  <c r="B33" i="7"/>
  <c r="I28" i="7"/>
  <c r="F28" i="7"/>
  <c r="B28" i="7"/>
  <c r="L27" i="7"/>
  <c r="D27" i="7"/>
  <c r="B27" i="7"/>
  <c r="F20" i="7"/>
  <c r="F19" i="7"/>
  <c r="R15" i="7"/>
  <c r="T14" i="7"/>
  <c r="F14" i="7"/>
  <c r="T13" i="7"/>
  <c r="R13" i="7"/>
  <c r="V11" i="7"/>
  <c r="F11" i="7"/>
  <c r="F13" i="7" s="1"/>
  <c r="R33" i="7" s="1"/>
  <c r="V10" i="7"/>
  <c r="V9" i="7"/>
  <c r="O9" i="7"/>
  <c r="D9" i="7"/>
  <c r="R8" i="7"/>
  <c r="O7" i="7"/>
  <c r="J6" i="7"/>
  <c r="I3" i="7"/>
  <c r="O8" i="7"/>
  <c r="J28" i="6"/>
  <c r="K21" i="6" s="1"/>
  <c r="G28" i="6"/>
  <c r="G29" i="6" s="1"/>
  <c r="E29" i="6" s="1"/>
  <c r="N27" i="6"/>
  <c r="K27" i="6"/>
  <c r="N26" i="6"/>
  <c r="N25" i="6"/>
  <c r="N24" i="6"/>
  <c r="N23" i="6"/>
  <c r="N22" i="6"/>
  <c r="K22" i="6"/>
  <c r="N21" i="6"/>
  <c r="H21" i="6"/>
  <c r="N20" i="6"/>
  <c r="N19" i="6"/>
  <c r="K19" i="6"/>
  <c r="N18" i="6"/>
  <c r="N17" i="6"/>
  <c r="K17" i="6"/>
  <c r="N16" i="6"/>
  <c r="N15" i="6"/>
  <c r="N14" i="6"/>
  <c r="K14" i="6"/>
  <c r="N13" i="6"/>
  <c r="K13" i="6"/>
  <c r="Q120" i="5"/>
  <c r="S120" i="5" s="1"/>
  <c r="P120" i="5"/>
  <c r="R120" i="5" s="1"/>
  <c r="O120" i="5"/>
  <c r="N120" i="5"/>
  <c r="M120" i="5"/>
  <c r="L120" i="5"/>
  <c r="K120" i="5"/>
  <c r="Q119" i="5"/>
  <c r="S119" i="5" s="1"/>
  <c r="P119" i="5"/>
  <c r="R119" i="5" s="1"/>
  <c r="O119" i="5"/>
  <c r="N119" i="5"/>
  <c r="M119" i="5"/>
  <c r="L119" i="5"/>
  <c r="K119" i="5"/>
  <c r="Q118" i="5"/>
  <c r="S118" i="5" s="1"/>
  <c r="P118" i="5"/>
  <c r="R118" i="5" s="1"/>
  <c r="O118" i="5"/>
  <c r="N118" i="5"/>
  <c r="M118" i="5"/>
  <c r="L118" i="5"/>
  <c r="K118" i="5"/>
  <c r="Q117" i="5"/>
  <c r="S117" i="5" s="1"/>
  <c r="P117" i="5"/>
  <c r="R117" i="5" s="1"/>
  <c r="O117" i="5"/>
  <c r="N117" i="5"/>
  <c r="M117" i="5"/>
  <c r="L117" i="5"/>
  <c r="K117" i="5"/>
  <c r="Q116" i="5"/>
  <c r="S116" i="5" s="1"/>
  <c r="P116" i="5"/>
  <c r="R116" i="5" s="1"/>
  <c r="O116" i="5"/>
  <c r="N116" i="5"/>
  <c r="M116" i="5"/>
  <c r="L116" i="5"/>
  <c r="K116" i="5"/>
  <c r="P113" i="5"/>
  <c r="R113" i="5" s="1"/>
  <c r="N113" i="5"/>
  <c r="M113" i="5"/>
  <c r="L113" i="5"/>
  <c r="K113" i="5"/>
  <c r="N112" i="5"/>
  <c r="M112" i="5"/>
  <c r="L112" i="5"/>
  <c r="P112" i="5" s="1"/>
  <c r="K112" i="5"/>
  <c r="N111" i="5"/>
  <c r="M111" i="5"/>
  <c r="L111" i="5"/>
  <c r="P111" i="5" s="1"/>
  <c r="K111" i="5"/>
  <c r="N110" i="5"/>
  <c r="M110" i="5"/>
  <c r="L110" i="5"/>
  <c r="P110" i="5" s="1"/>
  <c r="K110" i="5"/>
  <c r="N109" i="5"/>
  <c r="M109" i="5"/>
  <c r="L109" i="5"/>
  <c r="P109" i="5" s="1"/>
  <c r="K109" i="5"/>
  <c r="N108" i="5"/>
  <c r="M108" i="5"/>
  <c r="L108" i="5"/>
  <c r="P108" i="5" s="1"/>
  <c r="K108" i="5"/>
  <c r="P107" i="5"/>
  <c r="Q107" i="5" s="1"/>
  <c r="S107" i="5" s="1"/>
  <c r="N107" i="5"/>
  <c r="M107" i="5"/>
  <c r="L107" i="5"/>
  <c r="K107" i="5"/>
  <c r="AA104" i="5"/>
  <c r="L97" i="5"/>
  <c r="L96" i="5"/>
  <c r="L95" i="5"/>
  <c r="M94" i="5"/>
  <c r="L94" i="5"/>
  <c r="K94" i="5"/>
  <c r="M93" i="5"/>
  <c r="L93" i="5"/>
  <c r="K93" i="5"/>
  <c r="F27" i="5" s="1"/>
  <c r="N92" i="5"/>
  <c r="M92" i="5"/>
  <c r="L92" i="5"/>
  <c r="K92" i="5"/>
  <c r="N91" i="5"/>
  <c r="M91" i="5"/>
  <c r="L91" i="5"/>
  <c r="K91" i="5"/>
  <c r="N90" i="5"/>
  <c r="M90" i="5"/>
  <c r="L90" i="5"/>
  <c r="K90" i="5"/>
  <c r="N89" i="5"/>
  <c r="M89" i="5"/>
  <c r="F45" i="5" s="1"/>
  <c r="G59" i="5" s="1"/>
  <c r="L89" i="5"/>
  <c r="K89" i="5"/>
  <c r="R69" i="5"/>
  <c r="M65" i="5"/>
  <c r="M63" i="5"/>
  <c r="G63" i="5"/>
  <c r="P61" i="5"/>
  <c r="P60" i="5"/>
  <c r="M60" i="5"/>
  <c r="E52" i="5"/>
  <c r="D52" i="5"/>
  <c r="E47" i="5"/>
  <c r="E45" i="5"/>
  <c r="D45" i="5"/>
  <c r="E38" i="5"/>
  <c r="F34" i="5"/>
  <c r="G58" i="5" s="1"/>
  <c r="C34" i="5"/>
  <c r="E32" i="5"/>
  <c r="K31" i="5"/>
  <c r="C31" i="5"/>
  <c r="N30" i="5"/>
  <c r="M30" i="5"/>
  <c r="E27" i="5"/>
  <c r="D27" i="5"/>
  <c r="N20" i="5"/>
  <c r="D20" i="5"/>
  <c r="D47" i="5" s="1"/>
  <c r="D2" i="5"/>
  <c r="AF88" i="4"/>
  <c r="AD87" i="4"/>
  <c r="U85" i="4"/>
  <c r="M34" i="4"/>
  <c r="T29" i="4"/>
  <c r="I27" i="4"/>
  <c r="I28" i="4" s="1"/>
  <c r="Q24" i="4"/>
  <c r="AG22" i="4"/>
  <c r="AB22" i="4"/>
  <c r="AD22" i="4" s="1"/>
  <c r="AN21" i="4"/>
  <c r="AJ21" i="4"/>
  <c r="AI21" i="4"/>
  <c r="AH21" i="4"/>
  <c r="AQ21" i="4" s="1"/>
  <c r="AG21" i="4"/>
  <c r="AF21" i="4"/>
  <c r="AE21" i="4"/>
  <c r="AC21" i="4"/>
  <c r="AB21" i="4"/>
  <c r="AQ20" i="4"/>
  <c r="AN20" i="4"/>
  <c r="AJ20" i="4"/>
  <c r="AT20" i="4" s="1"/>
  <c r="AI20" i="4"/>
  <c r="AH20" i="4"/>
  <c r="AG20" i="4"/>
  <c r="AF20" i="4"/>
  <c r="AE20" i="4"/>
  <c r="AC20" i="4"/>
  <c r="AR20" i="4" s="1"/>
  <c r="AB20" i="4"/>
  <c r="AD20" i="4" s="1"/>
  <c r="AS19" i="4"/>
  <c r="AN19" i="4"/>
  <c r="AJ19" i="4"/>
  <c r="AI19" i="4"/>
  <c r="AR19" i="4" s="1"/>
  <c r="AH19" i="4"/>
  <c r="AG19" i="4"/>
  <c r="AF19" i="4"/>
  <c r="AE19" i="4"/>
  <c r="AC19" i="4"/>
  <c r="AT19" i="4" s="1"/>
  <c r="AB19" i="4"/>
  <c r="AD19" i="4" s="1"/>
  <c r="AN18" i="4"/>
  <c r="AJ18" i="4"/>
  <c r="AI18" i="4"/>
  <c r="AH18" i="4"/>
  <c r="AG18" i="4"/>
  <c r="AF18" i="4"/>
  <c r="AE18" i="4"/>
  <c r="AC18" i="4"/>
  <c r="AS18" i="4" s="1"/>
  <c r="AB18" i="4"/>
  <c r="AD18" i="4" s="1"/>
  <c r="AN17" i="4"/>
  <c r="AJ17" i="4"/>
  <c r="AI17" i="4"/>
  <c r="AH17" i="4"/>
  <c r="AG17" i="4"/>
  <c r="AF17" i="4"/>
  <c r="AE17" i="4"/>
  <c r="AD17" i="4"/>
  <c r="AC17" i="4"/>
  <c r="AS17" i="4" s="1"/>
  <c r="AB17" i="4"/>
  <c r="AN16" i="4"/>
  <c r="AJ16" i="4"/>
  <c r="AT16" i="4" s="1"/>
  <c r="AI16" i="4"/>
  <c r="AR16" i="4" s="1"/>
  <c r="AH16" i="4"/>
  <c r="AQ16" i="4" s="1"/>
  <c r="AG16" i="4"/>
  <c r="AF16" i="4"/>
  <c r="AE16" i="4"/>
  <c r="AC16" i="4"/>
  <c r="AB16" i="4"/>
  <c r="AD16" i="4" s="1"/>
  <c r="I16" i="4"/>
  <c r="I17" i="4" s="1"/>
  <c r="AN15" i="4"/>
  <c r="AJ15" i="4"/>
  <c r="AT15" i="4" s="1"/>
  <c r="AI15" i="4"/>
  <c r="AH15" i="4"/>
  <c r="AG15" i="4"/>
  <c r="AF15" i="4"/>
  <c r="AE15" i="4"/>
  <c r="AR15" i="4" s="1"/>
  <c r="AC15" i="4"/>
  <c r="AB15" i="4"/>
  <c r="AD15" i="4" s="1"/>
  <c r="AT14" i="4"/>
  <c r="AS14" i="4"/>
  <c r="AN14" i="4"/>
  <c r="AJ14" i="4"/>
  <c r="AI14" i="4"/>
  <c r="AH14" i="4"/>
  <c r="AG14" i="4"/>
  <c r="AF14" i="4"/>
  <c r="AE14" i="4"/>
  <c r="AR14" i="4" s="1"/>
  <c r="AC14" i="4"/>
  <c r="AQ14" i="4" s="1"/>
  <c r="AB14" i="4"/>
  <c r="AT13" i="4"/>
  <c r="AS13" i="4"/>
  <c r="AN13" i="4"/>
  <c r="AJ13" i="4"/>
  <c r="AI13" i="4"/>
  <c r="AH13" i="4"/>
  <c r="AG13" i="4"/>
  <c r="AF13" i="4"/>
  <c r="AE13" i="4"/>
  <c r="AC13" i="4"/>
  <c r="AR13" i="4" s="1"/>
  <c r="AB13" i="4"/>
  <c r="AN12" i="4"/>
  <c r="AJ12" i="4"/>
  <c r="AI12" i="4"/>
  <c r="AH12" i="4"/>
  <c r="AG12" i="4"/>
  <c r="AF12" i="4"/>
  <c r="AE12" i="4"/>
  <c r="AC12" i="4"/>
  <c r="AB12" i="4"/>
  <c r="AD12" i="4" s="1"/>
  <c r="AN11" i="4"/>
  <c r="AJ11" i="4"/>
  <c r="AT11" i="4" s="1"/>
  <c r="AI11" i="4"/>
  <c r="AH11" i="4"/>
  <c r="AG11" i="4"/>
  <c r="AF11" i="4"/>
  <c r="AE11" i="4"/>
  <c r="AR11" i="4" s="1"/>
  <c r="AC11" i="4"/>
  <c r="AB11" i="4"/>
  <c r="AD11" i="4" s="1"/>
  <c r="AF10" i="4"/>
  <c r="AE10" i="4"/>
  <c r="AG8" i="4"/>
  <c r="AF8" i="4"/>
  <c r="AB8" i="4"/>
  <c r="X6" i="4"/>
  <c r="AC3" i="4"/>
  <c r="AB4" i="5" s="1"/>
  <c r="B31" i="6" s="1"/>
  <c r="T97" i="4"/>
  <c r="B39" i="4"/>
  <c r="O66" i="12" l="1"/>
  <c r="AJ66" i="12"/>
  <c r="AL66" i="12" s="1"/>
  <c r="AL62" i="12" s="1"/>
  <c r="AG16" i="12" s="1"/>
  <c r="AI16" i="12" s="1"/>
  <c r="N5" i="11"/>
  <c r="K9" i="8"/>
  <c r="K11" i="8"/>
  <c r="O23" i="11"/>
  <c r="O22" i="11"/>
  <c r="N22" i="11" s="1"/>
  <c r="M22" i="11" s="1"/>
  <c r="Z85" i="12"/>
  <c r="AK154" i="12"/>
  <c r="AL154" i="12" s="1"/>
  <c r="H20" i="6"/>
  <c r="H27" i="6"/>
  <c r="L9" i="7"/>
  <c r="Q132" i="12"/>
  <c r="R132" i="12" s="1"/>
  <c r="Q134" i="12"/>
  <c r="R134" i="12" s="1"/>
  <c r="B35" i="12"/>
  <c r="B36" i="12" s="1"/>
  <c r="I22" i="12" s="1"/>
  <c r="D12" i="12" s="1"/>
  <c r="W46" i="12"/>
  <c r="Y46" i="12" s="1"/>
  <c r="Z46" i="12" s="1"/>
  <c r="AA106" i="12"/>
  <c r="AB106" i="12" s="1"/>
  <c r="AU14" i="4"/>
  <c r="AD14" i="4"/>
  <c r="AQ15" i="4"/>
  <c r="AT21" i="4"/>
  <c r="H14" i="6"/>
  <c r="H28" i="6" s="1"/>
  <c r="G46" i="12"/>
  <c r="H46" i="12" s="1"/>
  <c r="G44" i="12"/>
  <c r="H44" i="12" s="1"/>
  <c r="G50" i="12"/>
  <c r="H50" i="12" s="1"/>
  <c r="B50" i="12"/>
  <c r="G45" i="12"/>
  <c r="H45" i="12" s="1"/>
  <c r="O65" i="12"/>
  <c r="P65" i="12" s="1"/>
  <c r="B141" i="12"/>
  <c r="B142" i="12" s="1"/>
  <c r="AK152" i="12"/>
  <c r="AU11" i="4"/>
  <c r="AK150" i="12"/>
  <c r="AL150" i="12" s="1"/>
  <c r="AR18" i="4"/>
  <c r="H22" i="6"/>
  <c r="H8" i="11"/>
  <c r="E8" i="11"/>
  <c r="I19" i="11"/>
  <c r="H19" i="11" s="1"/>
  <c r="F45" i="12"/>
  <c r="G47" i="12"/>
  <c r="H47" i="12" s="1"/>
  <c r="H83" i="12"/>
  <c r="AA112" i="12"/>
  <c r="AB112" i="12" s="1"/>
  <c r="D38" i="5"/>
  <c r="M20" i="5"/>
  <c r="B119" i="12"/>
  <c r="B120" i="12" s="1"/>
  <c r="B75" i="12"/>
  <c r="H23" i="12"/>
  <c r="H16" i="6"/>
  <c r="M47" i="12"/>
  <c r="O47" i="12" s="1"/>
  <c r="V47" i="12"/>
  <c r="AA105" i="12"/>
  <c r="AB105" i="12" s="1"/>
  <c r="O107" i="12"/>
  <c r="AA114" i="12"/>
  <c r="AB114" i="12" s="1"/>
  <c r="P151" i="12"/>
  <c r="AK155" i="12"/>
  <c r="AL155" i="12" s="1"/>
  <c r="AK158" i="12"/>
  <c r="AL158" i="12" s="1"/>
  <c r="AQ13" i="4"/>
  <c r="I34" i="11"/>
  <c r="J34" i="11" s="1"/>
  <c r="AB23" i="12"/>
  <c r="Z151" i="12"/>
  <c r="G151" i="12"/>
  <c r="H151" i="12" s="1"/>
  <c r="G156" i="12"/>
  <c r="H156" i="12" s="1"/>
  <c r="G154" i="12"/>
  <c r="H154" i="12" s="1"/>
  <c r="G158" i="12"/>
  <c r="H158" i="12" s="1"/>
  <c r="H15" i="6"/>
  <c r="H19" i="6"/>
  <c r="H23" i="6"/>
  <c r="J7" i="6"/>
  <c r="Z65" i="12"/>
  <c r="H17" i="6"/>
  <c r="C43" i="8"/>
  <c r="C44" i="8" s="1"/>
  <c r="G43" i="12"/>
  <c r="Q110" i="12"/>
  <c r="R110" i="12" s="1"/>
  <c r="Q113" i="12"/>
  <c r="R113" i="12" s="1"/>
  <c r="Q111" i="12"/>
  <c r="R111" i="12" s="1"/>
  <c r="Q108" i="12"/>
  <c r="R108" i="12" s="1"/>
  <c r="AJ151" i="12"/>
  <c r="R68" i="5"/>
  <c r="V6" i="7"/>
  <c r="AP15" i="4"/>
  <c r="AS21" i="4"/>
  <c r="Q136" i="12"/>
  <c r="R136" i="12" s="1"/>
  <c r="B163" i="12"/>
  <c r="AG23" i="4"/>
  <c r="AH8" i="4"/>
  <c r="AP14" i="4"/>
  <c r="AU17" i="4"/>
  <c r="AS20" i="4"/>
  <c r="H18" i="6"/>
  <c r="H25" i="6"/>
  <c r="Q14" i="8"/>
  <c r="O20" i="11"/>
  <c r="N20" i="11" s="1"/>
  <c r="M20" i="11" s="1"/>
  <c r="G85" i="12"/>
  <c r="H85" i="12" s="1"/>
  <c r="O106" i="12"/>
  <c r="P106" i="12" s="1"/>
  <c r="N107" i="12"/>
  <c r="N108" i="12" s="1"/>
  <c r="O108" i="12" s="1"/>
  <c r="AJ107" i="12"/>
  <c r="AA109" i="12"/>
  <c r="F129" i="12"/>
  <c r="F130" i="12" s="1"/>
  <c r="AK151" i="12"/>
  <c r="AL151" i="12" s="1"/>
  <c r="AK149" i="12"/>
  <c r="AL149" i="12" s="1"/>
  <c r="AF158" i="12"/>
  <c r="AK157" i="12" s="1"/>
  <c r="AL157" i="12" s="1"/>
  <c r="AT18" i="4"/>
  <c r="D32" i="5"/>
  <c r="M57" i="5"/>
  <c r="M59" i="5"/>
  <c r="AA5" i="6"/>
  <c r="K10" i="8"/>
  <c r="J10" i="11"/>
  <c r="J23" i="11"/>
  <c r="I23" i="11" s="1"/>
  <c r="H23" i="11" s="1"/>
  <c r="Q28" i="12"/>
  <c r="R28" i="12" s="1"/>
  <c r="L30" i="12"/>
  <c r="Q23" i="12"/>
  <c r="AK69" i="12"/>
  <c r="AL69" i="12" s="1"/>
  <c r="AB83" i="12"/>
  <c r="Q106" i="12"/>
  <c r="R106" i="12" s="1"/>
  <c r="AA111" i="12"/>
  <c r="AB111" i="12" s="1"/>
  <c r="AB23" i="4"/>
  <c r="Q25" i="4" s="1"/>
  <c r="Q31" i="4" s="1"/>
  <c r="T31" i="4" s="1"/>
  <c r="AD21" i="4"/>
  <c r="AP21" i="4"/>
  <c r="H24" i="6"/>
  <c r="M9" i="11"/>
  <c r="I9" i="11"/>
  <c r="J9" i="11" s="1"/>
  <c r="B97" i="12"/>
  <c r="B98" i="12" s="1"/>
  <c r="AA110" i="12"/>
  <c r="AB110" i="12" s="1"/>
  <c r="V114" i="12"/>
  <c r="W114" i="12" s="1"/>
  <c r="Y114" i="12" s="1"/>
  <c r="AU20" i="4"/>
  <c r="AP20" i="4"/>
  <c r="Y64" i="12"/>
  <c r="Z64" i="12" s="1"/>
  <c r="AK128" i="12"/>
  <c r="AS16" i="4"/>
  <c r="H13" i="6"/>
  <c r="H26" i="6"/>
  <c r="F23" i="7"/>
  <c r="R34" i="7" s="1"/>
  <c r="J5" i="11"/>
  <c r="I5" i="11"/>
  <c r="P46" i="12"/>
  <c r="AI64" i="12"/>
  <c r="AJ64" i="12" s="1"/>
  <c r="Y66" i="12"/>
  <c r="Z66" i="12" s="1"/>
  <c r="AB66" i="12" s="1"/>
  <c r="AB62" i="12" s="1"/>
  <c r="W16" i="12" s="1"/>
  <c r="Y16" i="12" s="1"/>
  <c r="H128" i="12"/>
  <c r="G130" i="12"/>
  <c r="H130" i="12" s="1"/>
  <c r="G128" i="12"/>
  <c r="AK156" i="12"/>
  <c r="AL156" i="12" s="1"/>
  <c r="AS12" i="4"/>
  <c r="C54" i="7"/>
  <c r="D54" i="7" s="1"/>
  <c r="R23" i="12"/>
  <c r="Z129" i="12"/>
  <c r="Z130" i="12" s="1"/>
  <c r="Z131" i="12" s="1"/>
  <c r="Z132" i="12" s="1"/>
  <c r="Z133" i="12" s="1"/>
  <c r="Z134" i="12" s="1"/>
  <c r="Z135" i="12" s="1"/>
  <c r="Z136" i="12" s="1"/>
  <c r="AR12" i="4"/>
  <c r="J9" i="6"/>
  <c r="T12" i="7"/>
  <c r="R14" i="7" s="1"/>
  <c r="R16" i="7" s="1"/>
  <c r="AI65" i="12"/>
  <c r="AJ65" i="12" s="1"/>
  <c r="AA131" i="12"/>
  <c r="AB131" i="12" s="1"/>
  <c r="Z152" i="12"/>
  <c r="AS11" i="4"/>
  <c r="AR17" i="4"/>
  <c r="O30" i="5"/>
  <c r="O31" i="5" s="1"/>
  <c r="G57" i="5" s="1"/>
  <c r="T22" i="11"/>
  <c r="S22" i="11" s="1"/>
  <c r="R22" i="11" s="1"/>
  <c r="AT12" i="4"/>
  <c r="AR21" i="4"/>
  <c r="K20" i="6"/>
  <c r="K26" i="6"/>
  <c r="N8" i="8"/>
  <c r="AJ26" i="12"/>
  <c r="L53" i="12"/>
  <c r="AA69" i="12"/>
  <c r="AB69" i="12" s="1"/>
  <c r="AD13" i="4"/>
  <c r="AS15" i="4"/>
  <c r="AT17" i="4"/>
  <c r="AQ19" i="4"/>
  <c r="K15" i="6"/>
  <c r="P86" i="12"/>
  <c r="P87" i="12" s="1"/>
  <c r="P88" i="12" s="1"/>
  <c r="P89" i="12" s="1"/>
  <c r="P90" i="12" s="1"/>
  <c r="P91" i="12" s="1"/>
  <c r="AJ108" i="12"/>
  <c r="AJ109" i="12" s="1"/>
  <c r="AJ110" i="12" s="1"/>
  <c r="AJ111" i="12" s="1"/>
  <c r="P152" i="12"/>
  <c r="P153" i="12" s="1"/>
  <c r="P154" i="12" s="1"/>
  <c r="P155" i="12" s="1"/>
  <c r="P156" i="12" s="1"/>
  <c r="P157" i="12" s="1"/>
  <c r="AB152" i="12"/>
  <c r="G68" i="12"/>
  <c r="H68" i="12" s="1"/>
  <c r="G70" i="12"/>
  <c r="H70" i="12" s="1"/>
  <c r="G66" i="12"/>
  <c r="E70" i="12"/>
  <c r="F70" i="12" s="1"/>
  <c r="G67" i="12"/>
  <c r="H67" i="12" s="1"/>
  <c r="G64" i="12"/>
  <c r="H64" i="12" s="1"/>
  <c r="G63" i="12"/>
  <c r="H63" i="12" s="1"/>
  <c r="G65" i="12"/>
  <c r="H65" i="12" s="1"/>
  <c r="F46" i="12"/>
  <c r="F47" i="12" s="1"/>
  <c r="F48" i="12" s="1"/>
  <c r="F49" i="12" s="1"/>
  <c r="Z45" i="12"/>
  <c r="Z108" i="12"/>
  <c r="Z109" i="12" s="1"/>
  <c r="AK109" i="12"/>
  <c r="N3" i="12"/>
  <c r="R20" i="7" s="1"/>
  <c r="R23" i="7" s="1"/>
  <c r="D3" i="12"/>
  <c r="AJ86" i="12"/>
  <c r="AJ87" i="12" s="1"/>
  <c r="AJ88" i="12" s="1"/>
  <c r="AJ89" i="12" s="1"/>
  <c r="AJ90" i="12" s="1"/>
  <c r="AJ91" i="12" s="1"/>
  <c r="Z153" i="12"/>
  <c r="Z154" i="12" s="1"/>
  <c r="Z155" i="12" s="1"/>
  <c r="Z156" i="12" s="1"/>
  <c r="Z157" i="12" s="1"/>
  <c r="AK105" i="12"/>
  <c r="AL105" i="12" s="1"/>
  <c r="P26" i="12"/>
  <c r="P27" i="12" s="1"/>
  <c r="P28" i="12" s="1"/>
  <c r="P29" i="12" s="1"/>
  <c r="AA46" i="12"/>
  <c r="AB46" i="12" s="1"/>
  <c r="AA43" i="12"/>
  <c r="AB43" i="12" s="1"/>
  <c r="AA44" i="12"/>
  <c r="AB44" i="12" s="1"/>
  <c r="AA45" i="12"/>
  <c r="AB45" i="12" s="1"/>
  <c r="AK114" i="12"/>
  <c r="AL114" i="12" s="1"/>
  <c r="AK110" i="12"/>
  <c r="AL110" i="12" s="1"/>
  <c r="AK108" i="12"/>
  <c r="AL108" i="12" s="1"/>
  <c r="AK106" i="12"/>
  <c r="AL106" i="12" s="1"/>
  <c r="AK112" i="12"/>
  <c r="AL112" i="12" s="1"/>
  <c r="AF114" i="12"/>
  <c r="AG114" i="12" s="1"/>
  <c r="AI114" i="12" s="1"/>
  <c r="AK107" i="12"/>
  <c r="AL107" i="12" s="1"/>
  <c r="AK45" i="12"/>
  <c r="AL45" i="12" s="1"/>
  <c r="H22" i="12"/>
  <c r="C12" i="12" s="1"/>
  <c r="B70" i="12"/>
  <c r="C70" i="12" s="1"/>
  <c r="AB82" i="12"/>
  <c r="W14" i="12" s="1"/>
  <c r="Y14" i="12" s="1"/>
  <c r="F85" i="12"/>
  <c r="F86" i="12" s="1"/>
  <c r="F87" i="12" s="1"/>
  <c r="F88" i="12" s="1"/>
  <c r="F89" i="12" s="1"/>
  <c r="F90" i="12" s="1"/>
  <c r="F91" i="12" s="1"/>
  <c r="F107" i="12"/>
  <c r="F108" i="12" s="1"/>
  <c r="F109" i="12" s="1"/>
  <c r="G84" i="12"/>
  <c r="H84" i="12" s="1"/>
  <c r="P129" i="12"/>
  <c r="P130" i="12" s="1"/>
  <c r="P131" i="12" s="1"/>
  <c r="P132" i="12" s="1"/>
  <c r="P133" i="12" s="1"/>
  <c r="P134" i="12" s="1"/>
  <c r="P135" i="12" s="1"/>
  <c r="Z25" i="12"/>
  <c r="Z26" i="12" s="1"/>
  <c r="Z27" i="12" s="1"/>
  <c r="Z28" i="12" s="1"/>
  <c r="Z29" i="12" s="1"/>
  <c r="C30" i="12"/>
  <c r="E30" i="12" s="1"/>
  <c r="H43" i="12"/>
  <c r="N48" i="12"/>
  <c r="X47" i="12"/>
  <c r="Q129" i="12"/>
  <c r="Z86" i="12"/>
  <c r="Z87" i="12" s="1"/>
  <c r="Z88" i="12" s="1"/>
  <c r="Z89" i="12" s="1"/>
  <c r="Z90" i="12" s="1"/>
  <c r="Z91" i="12" s="1"/>
  <c r="Z92" i="12" s="1"/>
  <c r="R129" i="12"/>
  <c r="G132" i="12"/>
  <c r="H132" i="12" s="1"/>
  <c r="G134" i="12"/>
  <c r="H134" i="12" s="1"/>
  <c r="H129" i="12"/>
  <c r="G136" i="12"/>
  <c r="H136" i="12" s="1"/>
  <c r="G129" i="12"/>
  <c r="G131" i="12"/>
  <c r="H131" i="12" s="1"/>
  <c r="B136" i="12"/>
  <c r="AJ152" i="12"/>
  <c r="AJ153" i="12" s="1"/>
  <c r="AJ154" i="12" s="1"/>
  <c r="AJ155" i="12" s="1"/>
  <c r="AJ156" i="12" s="1"/>
  <c r="AJ157" i="12" s="1"/>
  <c r="AL152" i="12"/>
  <c r="AA154" i="12"/>
  <c r="AB154" i="12" s="1"/>
  <c r="AA149" i="12"/>
  <c r="AB149" i="12" s="1"/>
  <c r="AA158" i="12"/>
  <c r="AB158" i="12" s="1"/>
  <c r="AA156" i="12"/>
  <c r="AB156" i="12" s="1"/>
  <c r="AA151" i="12"/>
  <c r="AB151" i="12" s="1"/>
  <c r="V158" i="12"/>
  <c r="W158" i="12" s="1"/>
  <c r="Y158" i="12" s="1"/>
  <c r="AA153" i="12"/>
  <c r="AB153" i="12" s="1"/>
  <c r="AA155" i="12"/>
  <c r="AB155" i="12" s="1"/>
  <c r="V30" i="12"/>
  <c r="AA25" i="12"/>
  <c r="AB25" i="12" s="1"/>
  <c r="W44" i="12"/>
  <c r="Y44" i="12" s="1"/>
  <c r="Z44" i="12" s="1"/>
  <c r="E64" i="12"/>
  <c r="F64" i="12" s="1"/>
  <c r="G89" i="12"/>
  <c r="H89" i="12" s="1"/>
  <c r="Q85" i="12"/>
  <c r="R85" i="12" s="1"/>
  <c r="L92" i="12"/>
  <c r="M92" i="12" s="1"/>
  <c r="O92" i="12" s="1"/>
  <c r="Q87" i="12"/>
  <c r="R87" i="12" s="1"/>
  <c r="Q89" i="12"/>
  <c r="R89" i="12" s="1"/>
  <c r="Q84" i="12"/>
  <c r="R84" i="12" s="1"/>
  <c r="Q86" i="12"/>
  <c r="R86" i="12" s="1"/>
  <c r="Q83" i="12"/>
  <c r="R83" i="12" s="1"/>
  <c r="Q128" i="12"/>
  <c r="AA128" i="12"/>
  <c r="AA135" i="12"/>
  <c r="AB135" i="12" s="1"/>
  <c r="AA130" i="12"/>
  <c r="AB130" i="12" s="1"/>
  <c r="AB127" i="12"/>
  <c r="AA127" i="12"/>
  <c r="AA136" i="12"/>
  <c r="AB136" i="12" s="1"/>
  <c r="AA134" i="12"/>
  <c r="AB134" i="12" s="1"/>
  <c r="AB129" i="12"/>
  <c r="AA129" i="12"/>
  <c r="AK27" i="12"/>
  <c r="AL27" i="12" s="1"/>
  <c r="AK30" i="12"/>
  <c r="AL30" i="12" s="1"/>
  <c r="AK24" i="12"/>
  <c r="AL24" i="12" s="1"/>
  <c r="AK26" i="12"/>
  <c r="AL26" i="12" s="1"/>
  <c r="AF30" i="12"/>
  <c r="AG30" i="12" s="1"/>
  <c r="AI30" i="12" s="1"/>
  <c r="AK28" i="12"/>
  <c r="AL28" i="12" s="1"/>
  <c r="AA91" i="12"/>
  <c r="AB91" i="12" s="1"/>
  <c r="AA84" i="12"/>
  <c r="AB84" i="12" s="1"/>
  <c r="AA86" i="12"/>
  <c r="AB86" i="12" s="1"/>
  <c r="AA92" i="12"/>
  <c r="AB92" i="12" s="1"/>
  <c r="AA90" i="12"/>
  <c r="AB90" i="12" s="1"/>
  <c r="AJ113" i="12"/>
  <c r="AK136" i="12"/>
  <c r="AL136" i="12" s="1"/>
  <c r="AK132" i="12"/>
  <c r="AL132" i="12" s="1"/>
  <c r="AL127" i="12"/>
  <c r="AK127" i="12"/>
  <c r="AK134" i="12"/>
  <c r="AL134" i="12" s="1"/>
  <c r="AL129" i="12"/>
  <c r="AK129" i="12"/>
  <c r="AF136" i="12"/>
  <c r="AG136" i="12" s="1"/>
  <c r="AI136" i="12" s="1"/>
  <c r="AK131" i="12"/>
  <c r="AL131" i="12" s="1"/>
  <c r="AK133" i="12"/>
  <c r="AL133" i="12" s="1"/>
  <c r="AL128" i="12"/>
  <c r="AK92" i="12"/>
  <c r="AL92" i="12" s="1"/>
  <c r="AK88" i="12"/>
  <c r="AL88" i="12" s="1"/>
  <c r="AK90" i="12"/>
  <c r="AL90" i="12" s="1"/>
  <c r="AK83" i="12"/>
  <c r="AL83" i="12" s="1"/>
  <c r="AF92" i="12"/>
  <c r="AK85" i="12"/>
  <c r="AL85" i="12" s="1"/>
  <c r="AK87" i="12"/>
  <c r="AL87" i="12" s="1"/>
  <c r="AK89" i="12"/>
  <c r="AL89" i="12" s="1"/>
  <c r="Z107" i="12"/>
  <c r="G127" i="12"/>
  <c r="AK135" i="12"/>
  <c r="AL135" i="12" s="1"/>
  <c r="L161" i="12"/>
  <c r="L73" i="12"/>
  <c r="F27" i="12"/>
  <c r="F28" i="12" s="1"/>
  <c r="F29" i="12" s="1"/>
  <c r="AF44" i="12"/>
  <c r="AG44" i="12" s="1"/>
  <c r="AI44" i="12" s="1"/>
  <c r="AJ44" i="12" s="1"/>
  <c r="AG46" i="12"/>
  <c r="AI46" i="12" s="1"/>
  <c r="H127" i="12"/>
  <c r="AJ129" i="12"/>
  <c r="AJ130" i="12" s="1"/>
  <c r="AJ131" i="12" s="1"/>
  <c r="AJ132" i="12" s="1"/>
  <c r="AJ133" i="12" s="1"/>
  <c r="AJ134" i="12" s="1"/>
  <c r="AJ135" i="12" s="1"/>
  <c r="F131" i="12"/>
  <c r="F132" i="12" s="1"/>
  <c r="F133" i="12" s="1"/>
  <c r="F134" i="12" s="1"/>
  <c r="F135" i="12" s="1"/>
  <c r="AJ27" i="12"/>
  <c r="AJ28" i="12" s="1"/>
  <c r="AJ29" i="12" s="1"/>
  <c r="E65" i="12"/>
  <c r="E66" i="12"/>
  <c r="G88" i="12"/>
  <c r="H88" i="12" s="1"/>
  <c r="G90" i="12"/>
  <c r="H90" i="12" s="1"/>
  <c r="G92" i="12"/>
  <c r="H92" i="12" s="1"/>
  <c r="G87" i="12"/>
  <c r="H87" i="12" s="1"/>
  <c r="B92" i="12"/>
  <c r="L136" i="12"/>
  <c r="M136" i="12" s="1"/>
  <c r="O136" i="12" s="1"/>
  <c r="Q131" i="12"/>
  <c r="R131" i="12" s="1"/>
  <c r="Q133" i="12"/>
  <c r="R133" i="12" s="1"/>
  <c r="R128" i="12"/>
  <c r="R127" i="12"/>
  <c r="Q127" i="12"/>
  <c r="Q130" i="12"/>
  <c r="R130" i="12" s="1"/>
  <c r="AA150" i="12"/>
  <c r="AB150" i="12" s="1"/>
  <c r="AJ112" i="12"/>
  <c r="E12" i="12"/>
  <c r="Q44" i="12"/>
  <c r="R44" i="12" s="1"/>
  <c r="Q45" i="12"/>
  <c r="R45" i="12" s="1"/>
  <c r="Q43" i="12"/>
  <c r="R43" i="12" s="1"/>
  <c r="Q46" i="12"/>
  <c r="R46" i="12" s="1"/>
  <c r="Q88" i="12"/>
  <c r="R88" i="12" s="1"/>
  <c r="C114" i="12"/>
  <c r="E114" i="12" s="1"/>
  <c r="AA133" i="12"/>
  <c r="AB133" i="12" s="1"/>
  <c r="F151" i="12"/>
  <c r="F152" i="12" s="1"/>
  <c r="F153" i="12" s="1"/>
  <c r="F154" i="12" s="1"/>
  <c r="F155" i="12" s="1"/>
  <c r="F156" i="12" s="1"/>
  <c r="F157" i="12" s="1"/>
  <c r="G152" i="12"/>
  <c r="G149" i="12"/>
  <c r="H149" i="12" s="1"/>
  <c r="G150" i="12"/>
  <c r="H150" i="12" s="1"/>
  <c r="G155" i="12"/>
  <c r="H155" i="12" s="1"/>
  <c r="L48" i="12"/>
  <c r="B158" i="12"/>
  <c r="C158" i="12" s="1"/>
  <c r="E158" i="12" s="1"/>
  <c r="Q112" i="12"/>
  <c r="R112" i="12" s="1"/>
  <c r="Q114" i="12"/>
  <c r="R114" i="12" s="1"/>
  <c r="G153" i="12"/>
  <c r="H153" i="12" s="1"/>
  <c r="O15" i="11"/>
  <c r="O5" i="11"/>
  <c r="N15" i="11"/>
  <c r="R29" i="11"/>
  <c r="N29" i="11"/>
  <c r="O29" i="11" s="1"/>
  <c r="M33" i="11"/>
  <c r="J33" i="11"/>
  <c r="M6" i="11"/>
  <c r="I6" i="11"/>
  <c r="J6" i="11" s="1"/>
  <c r="N9" i="11"/>
  <c r="O9" i="11" s="1"/>
  <c r="H12" i="11"/>
  <c r="D12" i="11"/>
  <c r="E12" i="11" s="1"/>
  <c r="N19" i="11"/>
  <c r="M19" i="11" s="1"/>
  <c r="W19" i="11" s="1"/>
  <c r="T19" i="11"/>
  <c r="S19" i="11" s="1"/>
  <c r="R19" i="11" s="1"/>
  <c r="M30" i="11"/>
  <c r="I30" i="11"/>
  <c r="J30" i="11" s="1"/>
  <c r="E13" i="11"/>
  <c r="M25" i="11"/>
  <c r="M31" i="11"/>
  <c r="I31" i="11"/>
  <c r="J31" i="11" s="1"/>
  <c r="R5" i="11"/>
  <c r="D14" i="11"/>
  <c r="E14" i="11" s="1"/>
  <c r="C15" i="11"/>
  <c r="H25" i="11"/>
  <c r="S25" i="11"/>
  <c r="R25" i="11" s="1"/>
  <c r="R34" i="11"/>
  <c r="O34" i="11"/>
  <c r="D13" i="11"/>
  <c r="M10" i="11"/>
  <c r="H14" i="11"/>
  <c r="O35" i="11"/>
  <c r="I8" i="11"/>
  <c r="J8" i="11" s="1"/>
  <c r="M8" i="11"/>
  <c r="I32" i="11"/>
  <c r="J32" i="11" s="1"/>
  <c r="M32" i="11"/>
  <c r="R35" i="11"/>
  <c r="H13" i="11"/>
  <c r="M11" i="11"/>
  <c r="J11" i="11"/>
  <c r="I11" i="11"/>
  <c r="D36" i="11"/>
  <c r="H7" i="11"/>
  <c r="D11" i="11"/>
  <c r="D6" i="11"/>
  <c r="E11" i="11"/>
  <c r="S15" i="11"/>
  <c r="T15" i="11" s="1"/>
  <c r="D7" i="11"/>
  <c r="E7" i="11" s="1"/>
  <c r="E6" i="11"/>
  <c r="D10" i="11"/>
  <c r="E10" i="11"/>
  <c r="N36" i="11"/>
  <c r="O36" i="11" s="1"/>
  <c r="I35" i="11"/>
  <c r="J35" i="11" s="1"/>
  <c r="I15" i="11"/>
  <c r="J15" i="11" s="1"/>
  <c r="E21" i="11"/>
  <c r="D21" i="11" s="1"/>
  <c r="C21" i="11" s="1"/>
  <c r="E22" i="11"/>
  <c r="D22" i="11" s="1"/>
  <c r="C22" i="11" s="1"/>
  <c r="E23" i="11"/>
  <c r="D23" i="11" s="1"/>
  <c r="C23" i="11" s="1"/>
  <c r="Q17" i="8"/>
  <c r="E19" i="8"/>
  <c r="Q8" i="8" s="1"/>
  <c r="C20" i="8"/>
  <c r="E14" i="8"/>
  <c r="E33" i="8"/>
  <c r="C33" i="8" s="1"/>
  <c r="E31" i="8"/>
  <c r="E34" i="8" s="1"/>
  <c r="C34" i="8" s="1"/>
  <c r="E18" i="8"/>
  <c r="Q7" i="8" s="1"/>
  <c r="I6" i="7"/>
  <c r="O35" i="7"/>
  <c r="F27" i="7"/>
  <c r="K18" i="6"/>
  <c r="K23" i="6"/>
  <c r="K24" i="6"/>
  <c r="K25" i="6"/>
  <c r="K16" i="6"/>
  <c r="M9" i="6" s="1"/>
  <c r="J29" i="6"/>
  <c r="K29" i="6" s="1"/>
  <c r="R110" i="5"/>
  <c r="Q110" i="5"/>
  <c r="S110" i="5" s="1"/>
  <c r="R109" i="5"/>
  <c r="Q109" i="5"/>
  <c r="S109" i="5" s="1"/>
  <c r="R108" i="5"/>
  <c r="Q108" i="5"/>
  <c r="S108" i="5" s="1"/>
  <c r="R112" i="5"/>
  <c r="Q112" i="5"/>
  <c r="S112" i="5" s="1"/>
  <c r="G56" i="5"/>
  <c r="F52" i="5"/>
  <c r="G60" i="5" s="1"/>
  <c r="R111" i="5"/>
  <c r="Q111" i="5"/>
  <c r="S111" i="5" s="1"/>
  <c r="R107" i="5"/>
  <c r="Q113" i="5"/>
  <c r="S113" i="5" s="1"/>
  <c r="M56" i="5"/>
  <c r="AE84" i="4"/>
  <c r="AI86" i="4"/>
  <c r="Q37" i="4"/>
  <c r="T37" i="4" s="1"/>
  <c r="Q33" i="4"/>
  <c r="AU13" i="4"/>
  <c r="AU19" i="4"/>
  <c r="M8" i="4"/>
  <c r="AP16" i="4"/>
  <c r="AU15" i="4"/>
  <c r="AU21" i="4"/>
  <c r="AP11" i="4"/>
  <c r="AP17" i="4"/>
  <c r="AU12" i="4"/>
  <c r="AU18" i="4"/>
  <c r="AE85" i="4"/>
  <c r="M27" i="4"/>
  <c r="AQ11" i="4"/>
  <c r="AQ17" i="4"/>
  <c r="AP12" i="4"/>
  <c r="AU16" i="4"/>
  <c r="AP18" i="4"/>
  <c r="AQ12" i="4"/>
  <c r="AQ18" i="4"/>
  <c r="AP13" i="4"/>
  <c r="AP19" i="4"/>
  <c r="Q10" i="8" l="1"/>
  <c r="M30" i="12"/>
  <c r="O30" i="12" s="1"/>
  <c r="Q29" i="12"/>
  <c r="R29" i="12" s="1"/>
  <c r="R22" i="12" s="1"/>
  <c r="M12" i="12" s="1"/>
  <c r="O12" i="12" s="1"/>
  <c r="Z67" i="12"/>
  <c r="Z68" i="12" s="1"/>
  <c r="Z69" i="12" s="1"/>
  <c r="P30" i="12"/>
  <c r="P92" i="12"/>
  <c r="K12" i="8"/>
  <c r="AK44" i="12"/>
  <c r="AL44" i="12" s="1"/>
  <c r="M7" i="6"/>
  <c r="AL148" i="12"/>
  <c r="AG11" i="12" s="1"/>
  <c r="AI11" i="12" s="1"/>
  <c r="AJ114" i="12"/>
  <c r="J6" i="6"/>
  <c r="J24" i="11"/>
  <c r="I24" i="11" s="1"/>
  <c r="H24" i="11" s="1"/>
  <c r="H38" i="11" s="1"/>
  <c r="U5" i="8"/>
  <c r="B45" i="7"/>
  <c r="R126" i="12"/>
  <c r="M15" i="12" s="1"/>
  <c r="O15" i="12" s="1"/>
  <c r="Q29" i="4"/>
  <c r="Q135" i="12"/>
  <c r="R135" i="12" s="1"/>
  <c r="H42" i="12"/>
  <c r="C13" i="12" s="1"/>
  <c r="E13" i="12" s="1"/>
  <c r="AL109" i="12"/>
  <c r="P66" i="12"/>
  <c r="P67" i="12" s="1"/>
  <c r="P68" i="12" s="1"/>
  <c r="P69" i="12" s="1"/>
  <c r="P107" i="12"/>
  <c r="P108" i="12" s="1"/>
  <c r="G49" i="12"/>
  <c r="H49" i="12" s="1"/>
  <c r="C50" i="12"/>
  <c r="E50" i="12" s="1"/>
  <c r="F50" i="12" s="1"/>
  <c r="AG158" i="12"/>
  <c r="AI158" i="12" s="1"/>
  <c r="N109" i="12"/>
  <c r="AJ46" i="12"/>
  <c r="C55" i="7"/>
  <c r="AF47" i="12"/>
  <c r="W47" i="12"/>
  <c r="AA157" i="12"/>
  <c r="AB157" i="12" s="1"/>
  <c r="AB148" i="12" s="1"/>
  <c r="W11" i="12" s="1"/>
  <c r="Y11" i="12" s="1"/>
  <c r="AJ67" i="12"/>
  <c r="AJ68" i="12" s="1"/>
  <c r="AJ69" i="12" s="1"/>
  <c r="E24" i="11"/>
  <c r="D24" i="11" s="1"/>
  <c r="C24" i="11" s="1"/>
  <c r="C38" i="11" s="1"/>
  <c r="AG45" i="12"/>
  <c r="AI45" i="12" s="1"/>
  <c r="AJ45" i="12" s="1"/>
  <c r="P47" i="12"/>
  <c r="O24" i="11"/>
  <c r="N24" i="11" s="1"/>
  <c r="M24" i="11" s="1"/>
  <c r="N23" i="11"/>
  <c r="M23" i="11" s="1"/>
  <c r="AA113" i="12"/>
  <c r="AB113" i="12" s="1"/>
  <c r="F110" i="12"/>
  <c r="F111" i="12" s="1"/>
  <c r="F112" i="12" s="1"/>
  <c r="F113" i="12" s="1"/>
  <c r="H109" i="12"/>
  <c r="H104" i="12" s="1"/>
  <c r="C17" i="12" s="1"/>
  <c r="E17" i="12" s="1"/>
  <c r="AB109" i="12"/>
  <c r="AB104" i="12" s="1"/>
  <c r="W17" i="12" s="1"/>
  <c r="Y17" i="12" s="1"/>
  <c r="Z110" i="12"/>
  <c r="Z111" i="12" s="1"/>
  <c r="Z112" i="12" s="1"/>
  <c r="Z113" i="12" s="1"/>
  <c r="Z114" i="12" s="1"/>
  <c r="W30" i="12"/>
  <c r="Y30" i="12" s="1"/>
  <c r="Z30" i="12" s="1"/>
  <c r="AA29" i="12"/>
  <c r="AB29" i="12" s="1"/>
  <c r="AB22" i="12" s="1"/>
  <c r="W12" i="12" s="1"/>
  <c r="Y12" i="12" s="1"/>
  <c r="F158" i="12"/>
  <c r="AL104" i="12"/>
  <c r="AG17" i="12" s="1"/>
  <c r="AI17" i="12" s="1"/>
  <c r="G157" i="12"/>
  <c r="H157" i="12" s="1"/>
  <c r="Q150" i="12"/>
  <c r="R150" i="12" s="1"/>
  <c r="Q152" i="12"/>
  <c r="R152" i="12" s="1"/>
  <c r="Q149" i="12"/>
  <c r="R149" i="12" s="1"/>
  <c r="Q158" i="12"/>
  <c r="R158" i="12" s="1"/>
  <c r="Q156" i="12"/>
  <c r="R156" i="12" s="1"/>
  <c r="L158" i="12"/>
  <c r="M158" i="12" s="1"/>
  <c r="O158" i="12" s="1"/>
  <c r="P158" i="12" s="1"/>
  <c r="Q154" i="12"/>
  <c r="R154" i="12" s="1"/>
  <c r="Q153" i="12"/>
  <c r="R153" i="12" s="1"/>
  <c r="Q155" i="12"/>
  <c r="R155" i="12" s="1"/>
  <c r="Q151" i="12"/>
  <c r="R151" i="12" s="1"/>
  <c r="Y47" i="12"/>
  <c r="Z47" i="12" s="1"/>
  <c r="AH47" i="12"/>
  <c r="F30" i="12"/>
  <c r="AG92" i="12"/>
  <c r="AI92" i="12" s="1"/>
  <c r="AJ92" i="12" s="1"/>
  <c r="AK91" i="12"/>
  <c r="AL91" i="12" s="1"/>
  <c r="AB126" i="12"/>
  <c r="W15" i="12" s="1"/>
  <c r="Y15" i="12" s="1"/>
  <c r="AJ30" i="12"/>
  <c r="AL126" i="12"/>
  <c r="AG15" i="12" s="1"/>
  <c r="AI15" i="12" s="1"/>
  <c r="AK29" i="12"/>
  <c r="AL29" i="12" s="1"/>
  <c r="AL22" i="12" s="1"/>
  <c r="AG12" i="12" s="1"/>
  <c r="AI12" i="12" s="1"/>
  <c r="C92" i="12"/>
  <c r="E92" i="12" s="1"/>
  <c r="F92" i="12" s="1"/>
  <c r="G91" i="12"/>
  <c r="H91" i="12" s="1"/>
  <c r="H82" i="12" s="1"/>
  <c r="C14" i="12" s="1"/>
  <c r="E14" i="12" s="1"/>
  <c r="Z158" i="12"/>
  <c r="AK113" i="12"/>
  <c r="AL113" i="12" s="1"/>
  <c r="F114" i="12"/>
  <c r="N49" i="12"/>
  <c r="X49" i="12" s="1"/>
  <c r="AH49" i="12" s="1"/>
  <c r="X48" i="12"/>
  <c r="AH48" i="12" s="1"/>
  <c r="AJ158" i="12"/>
  <c r="G69" i="12"/>
  <c r="H69" i="12" s="1"/>
  <c r="AL82" i="12"/>
  <c r="AG14" i="12" s="1"/>
  <c r="AI14" i="12" s="1"/>
  <c r="M48" i="12"/>
  <c r="O48" i="12" s="1"/>
  <c r="P48" i="12" s="1"/>
  <c r="V48" i="12"/>
  <c r="Q47" i="12"/>
  <c r="R47" i="12" s="1"/>
  <c r="L49" i="12"/>
  <c r="Q48" i="12" s="1"/>
  <c r="R48" i="12" s="1"/>
  <c r="F65" i="12"/>
  <c r="F66" i="12" s="1"/>
  <c r="Q67" i="12"/>
  <c r="R67" i="12" s="1"/>
  <c r="Q64" i="12"/>
  <c r="R64" i="12" s="1"/>
  <c r="Q69" i="12"/>
  <c r="R69" i="12" s="1"/>
  <c r="Q66" i="12"/>
  <c r="Q68" i="12"/>
  <c r="R68" i="12" s="1"/>
  <c r="Q70" i="12"/>
  <c r="R70" i="12" s="1"/>
  <c r="O70" i="12"/>
  <c r="P70" i="12" s="1"/>
  <c r="Q63" i="12"/>
  <c r="R63" i="12" s="1"/>
  <c r="Q65" i="12"/>
  <c r="R65" i="12" s="1"/>
  <c r="AK43" i="12"/>
  <c r="AL43" i="12" s="1"/>
  <c r="P136" i="12"/>
  <c r="C136" i="12"/>
  <c r="E136" i="12" s="1"/>
  <c r="F136" i="12" s="1"/>
  <c r="G135" i="12"/>
  <c r="H135" i="12" s="1"/>
  <c r="H126" i="12" s="1"/>
  <c r="C15" i="12" s="1"/>
  <c r="E15" i="12" s="1"/>
  <c r="H152" i="12"/>
  <c r="H148" i="12" s="1"/>
  <c r="C11" i="12" s="1"/>
  <c r="E11" i="12" s="1"/>
  <c r="Q91" i="12"/>
  <c r="R91" i="12" s="1"/>
  <c r="R82" i="12" s="1"/>
  <c r="M14" i="12" s="1"/>
  <c r="O14" i="12" s="1"/>
  <c r="AJ136" i="12"/>
  <c r="N11" i="11"/>
  <c r="O11" i="11"/>
  <c r="R31" i="11"/>
  <c r="N31" i="11"/>
  <c r="O31" i="11" s="1"/>
  <c r="I13" i="11"/>
  <c r="J13" i="11" s="1"/>
  <c r="M13" i="11"/>
  <c r="T35" i="11"/>
  <c r="S35" i="11"/>
  <c r="N6" i="11"/>
  <c r="O6" i="11" s="1"/>
  <c r="N8" i="11"/>
  <c r="O8" i="11" s="1"/>
  <c r="N33" i="11"/>
  <c r="O33" i="11"/>
  <c r="R33" i="11"/>
  <c r="S29" i="11"/>
  <c r="T29" i="11" s="1"/>
  <c r="M7" i="11"/>
  <c r="I7" i="11"/>
  <c r="J7" i="11" s="1"/>
  <c r="M14" i="11"/>
  <c r="I14" i="11"/>
  <c r="J14" i="11" s="1"/>
  <c r="S5" i="11"/>
  <c r="T5" i="11" s="1"/>
  <c r="N10" i="11"/>
  <c r="O10" i="11" s="1"/>
  <c r="M12" i="11"/>
  <c r="I12" i="11"/>
  <c r="J12" i="11" s="1"/>
  <c r="S34" i="11"/>
  <c r="T34" i="11"/>
  <c r="R32" i="11"/>
  <c r="N32" i="11"/>
  <c r="O32" i="11" s="1"/>
  <c r="D15" i="11"/>
  <c r="E15" i="11" s="1"/>
  <c r="R30" i="11"/>
  <c r="N30" i="11"/>
  <c r="O30" i="11" s="1"/>
  <c r="Q20" i="8"/>
  <c r="Q24" i="8" s="1"/>
  <c r="R7" i="7"/>
  <c r="F29" i="7"/>
  <c r="L6" i="7" s="1"/>
  <c r="K28" i="6"/>
  <c r="G61" i="5"/>
  <c r="G65" i="5" s="1"/>
  <c r="AB96" i="4"/>
  <c r="X90" i="4"/>
  <c r="V90" i="4"/>
  <c r="AB90" i="4" s="1"/>
  <c r="X87" i="4"/>
  <c r="V89" i="4"/>
  <c r="V91" i="4"/>
  <c r="V86" i="4"/>
  <c r="X88" i="4"/>
  <c r="X92" i="4"/>
  <c r="V87" i="4"/>
  <c r="V92" i="4"/>
  <c r="X89" i="4"/>
  <c r="V88" i="4"/>
  <c r="X91" i="4"/>
  <c r="X86" i="4"/>
  <c r="AE87" i="4"/>
  <c r="AG87" i="4" s="1"/>
  <c r="AE92" i="4"/>
  <c r="AG92" i="4" s="1"/>
  <c r="AE89" i="4"/>
  <c r="AG89" i="4" s="1"/>
  <c r="AE90" i="4"/>
  <c r="AG90" i="4" s="1"/>
  <c r="AE91" i="4"/>
  <c r="AG91" i="4" s="1"/>
  <c r="AE86" i="4"/>
  <c r="AG86" i="4" s="1"/>
  <c r="AE88" i="4"/>
  <c r="AG88" i="4" s="1"/>
  <c r="AB86" i="4" l="1"/>
  <c r="AB91" i="4"/>
  <c r="B28" i="8"/>
  <c r="N110" i="12"/>
  <c r="O110" i="12" s="1"/>
  <c r="O109" i="12"/>
  <c r="P109" i="12" s="1"/>
  <c r="R109" i="12" s="1"/>
  <c r="R104" i="12" s="1"/>
  <c r="M17" i="12" s="1"/>
  <c r="O17" i="12" s="1"/>
  <c r="AG47" i="12"/>
  <c r="AK46" i="12"/>
  <c r="AL46" i="12" s="1"/>
  <c r="R66" i="12"/>
  <c r="R62" i="12" s="1"/>
  <c r="M16" i="12" s="1"/>
  <c r="O16" i="12" s="1"/>
  <c r="AI47" i="12"/>
  <c r="AJ47" i="12" s="1"/>
  <c r="AB92" i="4"/>
  <c r="AB87" i="4"/>
  <c r="F67" i="12"/>
  <c r="F68" i="12" s="1"/>
  <c r="F69" i="12" s="1"/>
  <c r="H66" i="12"/>
  <c r="H62" i="12" s="1"/>
  <c r="C16" i="12" s="1"/>
  <c r="E16" i="12" s="1"/>
  <c r="AF48" i="12"/>
  <c r="W48" i="12"/>
  <c r="Y48" i="12" s="1"/>
  <c r="Z48" i="12" s="1"/>
  <c r="AA47" i="12"/>
  <c r="AB47" i="12" s="1"/>
  <c r="AA48" i="12"/>
  <c r="AB48" i="12" s="1"/>
  <c r="M49" i="12"/>
  <c r="O49" i="12" s="1"/>
  <c r="P49" i="12" s="1"/>
  <c r="V49" i="12"/>
  <c r="Q50" i="12"/>
  <c r="R50" i="12" s="1"/>
  <c r="L50" i="12"/>
  <c r="Q157" i="12"/>
  <c r="R157" i="12" s="1"/>
  <c r="R148" i="12" s="1"/>
  <c r="M11" i="12" s="1"/>
  <c r="O11" i="12" s="1"/>
  <c r="S30" i="11"/>
  <c r="T30" i="11" s="1"/>
  <c r="R38" i="11"/>
  <c r="N7" i="11"/>
  <c r="O7" i="11" s="1"/>
  <c r="N14" i="11"/>
  <c r="O14" i="11" s="1"/>
  <c r="N13" i="11"/>
  <c r="O13" i="11" s="1"/>
  <c r="N12" i="11"/>
  <c r="O12" i="11" s="1"/>
  <c r="M38" i="11"/>
  <c r="S33" i="11"/>
  <c r="T33" i="11" s="1"/>
  <c r="S31" i="11"/>
  <c r="T31" i="11" s="1"/>
  <c r="S32" i="11"/>
  <c r="T32" i="11" s="1"/>
  <c r="Q25" i="8"/>
  <c r="Q26" i="8" s="1"/>
  <c r="R9" i="7"/>
  <c r="R10" i="7" s="1"/>
  <c r="R28" i="7" s="1"/>
  <c r="L28" i="7"/>
  <c r="AB89" i="4"/>
  <c r="AB88" i="4"/>
  <c r="R36" i="7" l="1"/>
  <c r="R38" i="7" s="1"/>
  <c r="P110" i="12"/>
  <c r="P111" i="12" s="1"/>
  <c r="P112" i="12" s="1"/>
  <c r="P113" i="12" s="1"/>
  <c r="P114" i="12" s="1"/>
  <c r="W49" i="12"/>
  <c r="Y49" i="12" s="1"/>
  <c r="Z49" i="12" s="1"/>
  <c r="AF49" i="12"/>
  <c r="AA50" i="12"/>
  <c r="AB50" i="12" s="1"/>
  <c r="AG48" i="12"/>
  <c r="AI48" i="12" s="1"/>
  <c r="AJ48" i="12" s="1"/>
  <c r="AK48" i="12"/>
  <c r="AL48" i="12" s="1"/>
  <c r="AK47" i="12"/>
  <c r="AL47" i="12" s="1"/>
  <c r="V50" i="12"/>
  <c r="M50" i="12"/>
  <c r="O50" i="12" s="1"/>
  <c r="P50" i="12" s="1"/>
  <c r="Q49" i="12"/>
  <c r="R49" i="12" s="1"/>
  <c r="R42" i="12" s="1"/>
  <c r="M13" i="12" s="1"/>
  <c r="O13" i="12" s="1"/>
  <c r="R40" i="7"/>
  <c r="R41" i="7" s="1"/>
  <c r="AF50" i="12" l="1"/>
  <c r="AG50" i="12" s="1"/>
  <c r="AI50" i="12" s="1"/>
  <c r="W50" i="12"/>
  <c r="Y50" i="12" s="1"/>
  <c r="Z50" i="12" s="1"/>
  <c r="AA49" i="12"/>
  <c r="AB49" i="12" s="1"/>
  <c r="AB42" i="12" s="1"/>
  <c r="W13" i="12" s="1"/>
  <c r="Y13" i="12" s="1"/>
  <c r="AG49" i="12"/>
  <c r="AI49" i="12" s="1"/>
  <c r="AJ49" i="12" s="1"/>
  <c r="AK50" i="12"/>
  <c r="AL50" i="12" s="1"/>
  <c r="AK49" i="12" l="1"/>
  <c r="AL49" i="12" s="1"/>
  <c r="AL42" i="12" s="1"/>
  <c r="AG13" i="12" s="1"/>
  <c r="AI13" i="12" s="1"/>
  <c r="AJ5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tc={4FC89B92-7E5F-4381-A19C-B8276FBB3C29}</author>
  </authors>
  <commentList>
    <comment ref="S90" authorId="0" shapeId="0" xr:uid="{4FC89B92-7E5F-4381-A19C-B8276FBB3C29}">
      <text>
        <t>[Threaded comment]
Your version of Excel allows you to read this threaded comment; however, any edits to it will get removed if the file is opened in a newer version of Excel. Learn more: https://go.microsoft.com/fwlink/?linkid=870924
Comment:
    No DSCR requirement for lease doc</t>
      </text>
    </comment>
  </commentList>
</comments>
</file>

<file path=xl/sharedStrings.xml><?xml version="1.0" encoding="utf-8"?>
<sst xmlns="http://schemas.openxmlformats.org/spreadsheetml/2006/main" count="854" uniqueCount="380">
  <si>
    <t>Thrive</t>
  </si>
  <si>
    <t>Property Purchase Calculator</t>
  </si>
  <si>
    <t>Fee Calculator</t>
  </si>
  <si>
    <t>Stamp Duty</t>
  </si>
  <si>
    <t>Prepared For:</t>
  </si>
  <si>
    <t>1  enter annual income details</t>
  </si>
  <si>
    <t>2  enter loan details</t>
  </si>
  <si>
    <t>Version yymmdd</t>
  </si>
  <si>
    <t>11.12.2025</t>
  </si>
  <si>
    <t>Consumer</t>
  </si>
  <si>
    <t>Commercial</t>
  </si>
  <si>
    <t>As per Guide</t>
  </si>
  <si>
    <t>Enter data into white shaded cells</t>
  </si>
  <si>
    <t>Floor</t>
  </si>
  <si>
    <t>Home Loan (Own)</t>
  </si>
  <si>
    <t>C</t>
  </si>
  <si>
    <t>PROPOSED LOAN</t>
  </si>
  <si>
    <t>Select</t>
  </si>
  <si>
    <t>Stress</t>
  </si>
  <si>
    <t>Variable</t>
  </si>
  <si>
    <t>Home Loan (Investment)</t>
  </si>
  <si>
    <t>B</t>
  </si>
  <si>
    <t>Net Profit Before Tax</t>
  </si>
  <si>
    <t>Term (yrs)</t>
  </si>
  <si>
    <t>IO Period</t>
  </si>
  <si>
    <t>Interest</t>
  </si>
  <si>
    <t>Stressed DSCR</t>
  </si>
  <si>
    <t>Fixed</t>
  </si>
  <si>
    <t>Commercial Loan</t>
  </si>
  <si>
    <t>H</t>
  </si>
  <si>
    <t>Plus Add Backs</t>
  </si>
  <si>
    <t>Overdraft</t>
  </si>
  <si>
    <t>Rent Paid</t>
  </si>
  <si>
    <t>OTHER CURRENT LOANS &amp; COMMITMENTS</t>
  </si>
  <si>
    <t>Construction</t>
  </si>
  <si>
    <t>Interest Paid</t>
  </si>
  <si>
    <t>Select Loan Type</t>
  </si>
  <si>
    <t>Amount/Limit</t>
  </si>
  <si>
    <t>Min Payment pm</t>
  </si>
  <si>
    <t>Actual pa</t>
  </si>
  <si>
    <t>Max</t>
  </si>
  <si>
    <t>27 Yr P&amp;I</t>
  </si>
  <si>
    <t>5 Yr P&amp;I</t>
  </si>
  <si>
    <t>Lease/HP</t>
  </si>
  <si>
    <t>Inventory/Receivable</t>
  </si>
  <si>
    <t>Result</t>
  </si>
  <si>
    <t>E</t>
  </si>
  <si>
    <t>F</t>
  </si>
  <si>
    <t>G</t>
  </si>
  <si>
    <t>Depreciation &amp; Amortisation</t>
  </si>
  <si>
    <t>Directors' Salaries/Fees</t>
  </si>
  <si>
    <t>Personal Loan (Variable)</t>
  </si>
  <si>
    <t>Directors' Super Contributions</t>
  </si>
  <si>
    <t>Personal Loan (Fixed)</t>
  </si>
  <si>
    <t>Other (Detail)</t>
  </si>
  <si>
    <t>Total Add Backs</t>
  </si>
  <si>
    <t>Gross Business Income</t>
  </si>
  <si>
    <t>Individual/Personal Income - 1</t>
  </si>
  <si>
    <t>Individual/Personal Income - 2</t>
  </si>
  <si>
    <t>Credit cards (Total limits)</t>
  </si>
  <si>
    <t>*</t>
  </si>
  <si>
    <t>Total of All Loans</t>
  </si>
  <si>
    <t>Total Interest Payable</t>
  </si>
  <si>
    <t>Total Personal &amp; Other Available Income</t>
  </si>
  <si>
    <t>Total Business, Personal &amp; Other Income</t>
  </si>
  <si>
    <t>* Gross Rental Income is discounted to 80%</t>
  </si>
  <si>
    <t>Result of Serviceability Test</t>
  </si>
  <si>
    <t>Indicative Borrowing Capacity</t>
  </si>
  <si>
    <t>Income</t>
  </si>
  <si>
    <t>Date</t>
  </si>
  <si>
    <t>Full Doc</t>
  </si>
  <si>
    <t>Mid Doc</t>
  </si>
  <si>
    <t>Yes</t>
  </si>
  <si>
    <t>No</t>
  </si>
  <si>
    <t>Commercial Loan - ICR &amp; DSCR Calculator</t>
  </si>
  <si>
    <t>Enter client name</t>
  </si>
  <si>
    <t>Commercial Branding</t>
  </si>
  <si>
    <r>
      <t>BUSINESS INCOME</t>
    </r>
    <r>
      <rPr>
        <sz val="10"/>
        <rFont val="Arial Narrow"/>
        <family val="2"/>
      </rPr>
      <t xml:space="preserve">  (Company, Trust, Self Employed)</t>
    </r>
  </si>
  <si>
    <r>
      <t>Type of Loan</t>
    </r>
    <r>
      <rPr>
        <sz val="8"/>
        <rFont val="Arial Narrow"/>
        <family val="2"/>
      </rPr>
      <t xml:space="preserve"> (Full / Mid / Quick / SMSF)</t>
    </r>
  </si>
  <si>
    <t>Interest Rate</t>
  </si>
  <si>
    <t>ICR Stressed</t>
  </si>
  <si>
    <t>Term Remaining (yrs)</t>
  </si>
  <si>
    <t>PERSONAL &amp; OTHER AVILABLE INCOME</t>
  </si>
  <si>
    <r>
      <t xml:space="preserve">Investment Income </t>
    </r>
    <r>
      <rPr>
        <i/>
        <sz val="10"/>
        <rFont val="Arial Narrow"/>
        <family val="2"/>
      </rPr>
      <t>(May be subject to discount)</t>
    </r>
  </si>
  <si>
    <t>ICR assessed at 20% pa and DSCR at 3.9% per month of limit</t>
  </si>
  <si>
    <t>Gross Rental Income (Property Being Purchased)</t>
  </si>
  <si>
    <t>Gross Rental Income (Other Properties)</t>
  </si>
  <si>
    <t>Interest Cover (ICR) *</t>
  </si>
  <si>
    <t>Debt Service Cover (DSCR) **</t>
  </si>
  <si>
    <r>
      <rPr>
        <b/>
        <sz val="9"/>
        <rFont val="Arial Narrow"/>
        <family val="2"/>
      </rPr>
      <t xml:space="preserve">Important Note </t>
    </r>
    <r>
      <rPr>
        <sz val="9"/>
        <rFont val="Arial Narrow"/>
        <family val="2"/>
      </rPr>
      <t>- Please note that this ICR &amp; DSCR calculator is for indicative purposes only and should</t>
    </r>
  </si>
  <si>
    <t>** Minimum stressed DSCR &gt;1x for all loans, except Lease Doc and Private Lending/Resi Stock</t>
  </si>
  <si>
    <t>*** Net rent applies for Lease Doc</t>
  </si>
  <si>
    <t>not be relied upon as constituting approval for the provision of credit. Other factors are taken into account</t>
  </si>
  <si>
    <t>including available cash surplus for personal living expenses.</t>
  </si>
  <si>
    <t>DCSR floor</t>
  </si>
  <si>
    <t>DCSR (stressted</t>
  </si>
  <si>
    <t>Doc type</t>
  </si>
  <si>
    <t>ICR (Standard)</t>
  </si>
  <si>
    <t>Max capacity</t>
  </si>
  <si>
    <t>External</t>
  </si>
  <si>
    <t>Quick Doc</t>
  </si>
  <si>
    <t>SMSF</t>
  </si>
  <si>
    <t>Note lease doc no DSCR requirement</t>
  </si>
  <si>
    <t xml:space="preserve"> </t>
  </si>
  <si>
    <t>Lease Doc</t>
  </si>
  <si>
    <t>No DSCR requirement</t>
  </si>
  <si>
    <t>Mid Doc Private Lending/Resi Stock</t>
  </si>
  <si>
    <t>Quick Doc Private Lending/Resi Stock</t>
  </si>
  <si>
    <t>Acceptable</t>
  </si>
  <si>
    <t>Insufficient Income</t>
  </si>
  <si>
    <t>SMSF Loan Serviceability Calculator</t>
  </si>
  <si>
    <t>Comments</t>
  </si>
  <si>
    <t>SMSF Branding</t>
  </si>
  <si>
    <t>SMSF Name</t>
  </si>
  <si>
    <t>Member 1</t>
  </si>
  <si>
    <t>Member 2</t>
  </si>
  <si>
    <t>Member 3</t>
  </si>
  <si>
    <t>Member 4</t>
  </si>
  <si>
    <t>Member 5</t>
  </si>
  <si>
    <t>Member 6</t>
  </si>
  <si>
    <t>Member Contributions pa</t>
  </si>
  <si>
    <t>Proposed Contributions</t>
  </si>
  <si>
    <t>Rental income pa</t>
  </si>
  <si>
    <t>Proposed Rent</t>
  </si>
  <si>
    <t>Address</t>
  </si>
  <si>
    <t>Property 1</t>
  </si>
  <si>
    <t>Property 2</t>
  </si>
  <si>
    <t>Property 3</t>
  </si>
  <si>
    <t>Property 4</t>
  </si>
  <si>
    <t>Property 5</t>
  </si>
  <si>
    <t>Property 6</t>
  </si>
  <si>
    <t>Total Contributions pa</t>
  </si>
  <si>
    <t>Property 7</t>
  </si>
  <si>
    <t>Property 8</t>
  </si>
  <si>
    <t>New SMSF</t>
  </si>
  <si>
    <t>Property 9</t>
  </si>
  <si>
    <t>Cash/shares after TT loan settlement</t>
  </si>
  <si>
    <t>Gross Rent pa</t>
  </si>
  <si>
    <t>Existing SMSF (Financials)</t>
  </si>
  <si>
    <t>Proposed Interest</t>
  </si>
  <si>
    <t>Gross Investment income</t>
  </si>
  <si>
    <t>Outgoing</t>
  </si>
  <si>
    <t>Existing Continuing Loans</t>
  </si>
  <si>
    <t>Pension Payments pa</t>
  </si>
  <si>
    <t>Proposed Pensions</t>
  </si>
  <si>
    <t>Continuing LRBA</t>
  </si>
  <si>
    <t>Description</t>
  </si>
  <si>
    <t>Comm / Resi</t>
  </si>
  <si>
    <t>Amount</t>
  </si>
  <si>
    <t>% Rate pa</t>
  </si>
  <si>
    <t>Monthly Pmt</t>
  </si>
  <si>
    <t>Loan 1</t>
  </si>
  <si>
    <t>Loan 2</t>
  </si>
  <si>
    <t>Loan 3</t>
  </si>
  <si>
    <t>Loan 4</t>
  </si>
  <si>
    <t>Loan 5</t>
  </si>
  <si>
    <t>Loan 6</t>
  </si>
  <si>
    <t>Total Payments pa</t>
  </si>
  <si>
    <t>Loan 7</t>
  </si>
  <si>
    <t>Fund Expenses pa</t>
  </si>
  <si>
    <t>Proposed Expenses</t>
  </si>
  <si>
    <t>Thinktank Loan</t>
  </si>
  <si>
    <t>Product</t>
  </si>
  <si>
    <t>Payment Type</t>
  </si>
  <si>
    <t>IO Term (yrs)</t>
  </si>
  <si>
    <t>Total Expenses pa</t>
  </si>
  <si>
    <t>ICR &amp; DSCR Serviceability Calculation</t>
  </si>
  <si>
    <t>Income summary for Serviceability</t>
  </si>
  <si>
    <t>Interest Only ICR Outcome</t>
  </si>
  <si>
    <t>Member constributions</t>
  </si>
  <si>
    <t>ICR (Standard) *</t>
  </si>
  <si>
    <t>Property income</t>
  </si>
  <si>
    <t>ICR (Stressed)</t>
  </si>
  <si>
    <t>Interest &amp; Dividend income</t>
  </si>
  <si>
    <t>Principal &amp; Interest DSCR Outcome</t>
  </si>
  <si>
    <t>Pension payments</t>
  </si>
  <si>
    <t>DSCR (Standard)</t>
  </si>
  <si>
    <t>Fund expenses</t>
  </si>
  <si>
    <t>DSCR (Stressed) **</t>
  </si>
  <si>
    <t>Total income for servicing</t>
  </si>
  <si>
    <t>Loan Interest pa</t>
  </si>
  <si>
    <t>Serviceability Result</t>
  </si>
  <si>
    <t>Cashflow Surplus</t>
  </si>
  <si>
    <t>DTI</t>
  </si>
  <si>
    <t xml:space="preserve">The material in this ICR/DSCR Calculator is intended only for general information and is not advice. It is important that readers seek legal, financial and taxation advice from appropriately qualified and </t>
  </si>
  <si>
    <t xml:space="preserve">credentialed professionals in relation to their own circumstances or transactions. Think Tank Group Pty Ltd and any related entity will not be liable for any loss or damage arising out of or in </t>
  </si>
  <si>
    <t>connection with the reliance upon any material in this Serviceability Calculator.</t>
  </si>
  <si>
    <t>Assumptions</t>
  </si>
  <si>
    <t>Calculations</t>
  </si>
  <si>
    <t>Rent Haircut</t>
  </si>
  <si>
    <t>Contribution</t>
  </si>
  <si>
    <t>Rent</t>
  </si>
  <si>
    <t>Pension</t>
  </si>
  <si>
    <t>Fund Exp</t>
  </si>
  <si>
    <t>Consumer Interest Rate Stress</t>
  </si>
  <si>
    <t>Commercial Interest Rate Stress</t>
  </si>
  <si>
    <t>Residential IR Stress</t>
  </si>
  <si>
    <t>Consumer Interest Rate Floor</t>
  </si>
  <si>
    <t>Commercial Interest Rate Floor</t>
  </si>
  <si>
    <t>Residential IR Floor</t>
  </si>
  <si>
    <t>1% Buffer SMSF Refi Stress</t>
  </si>
  <si>
    <t>Mid Doc &gt;$2m</t>
  </si>
  <si>
    <t>Mid Doc &lt;=$2m</t>
  </si>
  <si>
    <t>GST</t>
  </si>
  <si>
    <t>SMSF Easy Refi</t>
  </si>
  <si>
    <t>P&amp;I</t>
  </si>
  <si>
    <t>I/O</t>
  </si>
  <si>
    <t>SMSF Min Yield</t>
  </si>
  <si>
    <t>SMSF Min Fund Exp</t>
  </si>
  <si>
    <t>Investment income haircut</t>
  </si>
  <si>
    <t>Resi Loan maturity</t>
  </si>
  <si>
    <t>Exsting</t>
  </si>
  <si>
    <t>Loan AMT</t>
  </si>
  <si>
    <t>STD Rate</t>
  </si>
  <si>
    <t>Stressed</t>
  </si>
  <si>
    <t>Term</t>
  </si>
  <si>
    <t>STD Pmt</t>
  </si>
  <si>
    <t>Stressed Pmt</t>
  </si>
  <si>
    <t>STD Pmt pa</t>
  </si>
  <si>
    <t>Stressed Pmt pa</t>
  </si>
  <si>
    <t>New</t>
  </si>
  <si>
    <t>Weighted Average Lease Expiry (WALE) Calculator</t>
  </si>
  <si>
    <t>1  enter property details</t>
  </si>
  <si>
    <t>WALE Branding</t>
  </si>
  <si>
    <t>PROPERTY DETAILS</t>
  </si>
  <si>
    <t>WALE</t>
  </si>
  <si>
    <t>Total Lettable Area</t>
  </si>
  <si>
    <t xml:space="preserve"> sqm</t>
  </si>
  <si>
    <t>Area</t>
  </si>
  <si>
    <t>Annual Gross Rent Received</t>
  </si>
  <si>
    <t xml:space="preserve"> pa</t>
  </si>
  <si>
    <t>TENANCY, INCOME &amp; LEASE DETAILS</t>
  </si>
  <si>
    <t>Remaining Lease</t>
  </si>
  <si>
    <t>No.</t>
  </si>
  <si>
    <t xml:space="preserve">Tenant Details </t>
  </si>
  <si>
    <t>Lettable Area</t>
  </si>
  <si>
    <t>%</t>
  </si>
  <si>
    <t>Annual Rent</t>
  </si>
  <si>
    <t>Months</t>
  </si>
  <si>
    <r>
      <rPr>
        <b/>
        <sz val="9"/>
        <rFont val="Arial Narrow"/>
        <family val="2"/>
      </rPr>
      <t xml:space="preserve">Important Note  </t>
    </r>
    <r>
      <rPr>
        <sz val="9"/>
        <rFont val="Arial Narrow"/>
        <family val="2"/>
      </rPr>
      <t xml:space="preserve">-  Please note that this ICR calculator is for indicative purposes only and </t>
    </r>
  </si>
  <si>
    <t xml:space="preserve">should not be relied upon as constituting approval for the provision of credit. Please provide </t>
  </si>
  <si>
    <t>Thinktank with all relevant financial information in support of the loan application.</t>
  </si>
  <si>
    <t>1  enter loan &amp; up front commission details</t>
  </si>
  <si>
    <t>3  amount payable at settlement</t>
  </si>
  <si>
    <t>PP Branding</t>
  </si>
  <si>
    <t>$</t>
  </si>
  <si>
    <t>(incl. GST)</t>
  </si>
  <si>
    <t>Loan Amount Required</t>
  </si>
  <si>
    <t>Loan Establishment Fee</t>
  </si>
  <si>
    <r>
      <t xml:space="preserve">SMSF Loan </t>
    </r>
    <r>
      <rPr>
        <b/>
        <sz val="7"/>
        <color rgb="FF0070C0"/>
        <rFont val="Arial Narrow"/>
        <family val="2"/>
      </rPr>
      <t>(Commercial/Residential)</t>
    </r>
  </si>
  <si>
    <t>(Min $1,000 excl. GST)</t>
  </si>
  <si>
    <t>No. of Borrowers &amp; Guarantors</t>
  </si>
  <si>
    <t>Lender Legal Fees</t>
  </si>
  <si>
    <t>Property to be Purchased</t>
  </si>
  <si>
    <t>Security Valuation Fee**</t>
  </si>
  <si>
    <t>SMSF Commercial</t>
  </si>
  <si>
    <t>Property Location &amp; Value</t>
  </si>
  <si>
    <t>(may vary according to location &amp; nature of the property)</t>
  </si>
  <si>
    <t>Net Establishment Fee Payable</t>
  </si>
  <si>
    <t>Commercial &gt;1m</t>
  </si>
  <si>
    <r>
      <t xml:space="preserve">Will GST Apply?   </t>
    </r>
    <r>
      <rPr>
        <sz val="8"/>
        <rFont val="Arial Narrow"/>
        <family val="2"/>
      </rPr>
      <t>(Yes/No)</t>
    </r>
  </si>
  <si>
    <t>Commercial &lt; 1m</t>
  </si>
  <si>
    <t>Deposit Paid</t>
  </si>
  <si>
    <t>Legal &amp; Title Insurance Costs</t>
  </si>
  <si>
    <t>Amount Payable at Settlement</t>
  </si>
  <si>
    <t>Title Insurance Premium ***</t>
  </si>
  <si>
    <r>
      <t>LVR</t>
    </r>
    <r>
      <rPr>
        <sz val="8"/>
        <rFont val="Arial Narrow"/>
        <family val="2"/>
      </rPr>
      <t xml:space="preserve">  (Loan to Valuation Ratio)</t>
    </r>
  </si>
  <si>
    <t>Lender Legal Fees (excl. disbursements) ****</t>
  </si>
  <si>
    <t>No. of Security Properties</t>
  </si>
  <si>
    <t>Settlement Fee (GST free)</t>
  </si>
  <si>
    <t>Total Legal &amp; Title Insurance Costs</t>
  </si>
  <si>
    <t>For Borrowers Also Selling a Property</t>
  </si>
  <si>
    <t>Property Selling Price</t>
  </si>
  <si>
    <t>Stamp Duty &amp; Land Purchase Legal Fees</t>
  </si>
  <si>
    <t>Will GST Apply?</t>
  </si>
  <si>
    <t>Selling Agent's Commission</t>
  </si>
  <si>
    <t>Stamp Duty on Land Purchase *****~</t>
  </si>
  <si>
    <t>Repay Outstanding Loan</t>
  </si>
  <si>
    <r>
      <t xml:space="preserve">Borrower Legal &amp; Lodgement Fees </t>
    </r>
    <r>
      <rPr>
        <sz val="8"/>
        <rFont val="Arial Narrow"/>
        <family val="2"/>
      </rPr>
      <t>(incl. GST)</t>
    </r>
  </si>
  <si>
    <t>Other Payments from Settlement Proceeds</t>
  </si>
  <si>
    <t>Other Charges</t>
  </si>
  <si>
    <t>Amount Receivable at Settlement</t>
  </si>
  <si>
    <t>Total Stamp Duty &amp; Purchase Legal Fees</t>
  </si>
  <si>
    <t>Establishment Fee &amp; Up Front Commission</t>
  </si>
  <si>
    <t>(Excluding GST)</t>
  </si>
  <si>
    <t>µ</t>
  </si>
  <si>
    <t>Total Establishment Fee</t>
  </si>
  <si>
    <t>Notes</t>
  </si>
  <si>
    <t>* includes Standard legal fee ( refer to your RM for more information) and Title Insurance Premium</t>
  </si>
  <si>
    <t>BORROWER CASHFLOW SUMMARY</t>
  </si>
  <si>
    <t>Property Purchase Price (less Deposit Paid)</t>
  </si>
  <si>
    <t>** Valuation fees are indicative only and may vary depending on the valuer engaged by TT and/or the security location or complexity.</t>
  </si>
  <si>
    <t>Net Sale Proceeds (if applicable)</t>
  </si>
  <si>
    <t>*** Premiums are indicative only, please contact TT on 1300 781 043 for a formal quote. Add $75 for each additional security.</t>
  </si>
  <si>
    <t xml:space="preserve">**** Legal fees are indicative only and do not include disbursements (eg. searches, government duties, lodgement and registration fees, bank and postage fees). </t>
  </si>
  <si>
    <t>Total of Amounts Payable (add Sections 2+3)</t>
  </si>
  <si>
    <t>***** Does not account for any state base consession offered</t>
  </si>
  <si>
    <t>~ Commercial Property in ACT &lt;1.6M nil &gt; 1.6m flate rate of $5.00 per $100</t>
  </si>
  <si>
    <r>
      <t>Borrower Funds</t>
    </r>
    <r>
      <rPr>
        <sz val="10"/>
        <color indexed="8"/>
        <rFont val="Arial Narrow"/>
        <family val="2"/>
      </rPr>
      <t xml:space="preserve">: Surplus / </t>
    </r>
    <r>
      <rPr>
        <sz val="10"/>
        <color indexed="10"/>
        <rFont val="Arial Narrow"/>
        <family val="2"/>
      </rPr>
      <t>(Funds Required)</t>
    </r>
  </si>
  <si>
    <t>Disclaimer</t>
  </si>
  <si>
    <t>(including GST)</t>
  </si>
  <si>
    <t>The information from this calculator should be used as a guide only. It is not a quote or a pre-approval for a loan. To obtain an approval you must submit a loan</t>
  </si>
  <si>
    <t>Estimated Net GST to be Claimed Back / (Paid)</t>
  </si>
  <si>
    <t xml:space="preserve">application to us which we will assess according to our loan approval criteria at the time. The figures and formula used within this calculator may change at any </t>
  </si>
  <si>
    <t>Net Borrower Surplus / (Shortfall) excl. GST</t>
  </si>
  <si>
    <t xml:space="preserve">time without notice. Think Tank accepts no responsibility for any losses arising out of the use of or reliance on the conclusions reached by this calculator. Fees </t>
  </si>
  <si>
    <t>and charges will apply to all loans and will be made available upon application</t>
  </si>
  <si>
    <t>Selection</t>
  </si>
  <si>
    <t>NSW</t>
  </si>
  <si>
    <t>VIC</t>
  </si>
  <si>
    <t>QLD</t>
  </si>
  <si>
    <t>WA</t>
  </si>
  <si>
    <t>SA</t>
  </si>
  <si>
    <t>TAS</t>
  </si>
  <si>
    <t>ACT</t>
  </si>
  <si>
    <t>1  enter loan &amp; commission details</t>
  </si>
  <si>
    <t>Fee Branding</t>
  </si>
  <si>
    <t>Valuation fee payable upon acceptance of offer</t>
  </si>
  <si>
    <t>Loan Amount</t>
  </si>
  <si>
    <t>Establishment Fee</t>
  </si>
  <si>
    <t>Are there &gt;4 parties to the loan?</t>
  </si>
  <si>
    <t>Security Value</t>
  </si>
  <si>
    <t>s</t>
  </si>
  <si>
    <t>Total Valuation Fee **</t>
  </si>
  <si>
    <t>Total Security Value</t>
  </si>
  <si>
    <t>LVR</t>
  </si>
  <si>
    <t>Lender Legal Fees (ex. GSTdisbursements) ****</t>
  </si>
  <si>
    <r>
      <t>Total Fees Payable at Settlement</t>
    </r>
    <r>
      <rPr>
        <sz val="8"/>
        <rFont val="Arial Narrow"/>
        <family val="2"/>
      </rPr>
      <t xml:space="preserve"> (incl. GST)</t>
    </r>
  </si>
  <si>
    <t>Notes &amp; Disclaimers</t>
  </si>
  <si>
    <t>* includes Standard legal fee ( refer to your RM for more information) and Title Insurance Premium.</t>
  </si>
  <si>
    <t>SUMMARY OF FEES PAYABLE</t>
  </si>
  <si>
    <t>GST Payable</t>
  </si>
  <si>
    <r>
      <t>Total Fees Payable</t>
    </r>
    <r>
      <rPr>
        <sz val="8"/>
        <rFont val="Arial Narrow"/>
        <family val="2"/>
      </rPr>
      <t xml:space="preserve"> (incl. GST)</t>
    </r>
  </si>
  <si>
    <r>
      <t>Property Purchase</t>
    </r>
    <r>
      <rPr>
        <sz val="8"/>
        <color theme="0"/>
        <rFont val="Arial"/>
        <family val="2"/>
      </rPr>
      <t xml:space="preserve"> and </t>
    </r>
    <r>
      <rPr>
        <b/>
        <sz val="8"/>
        <color theme="0"/>
        <rFont val="Arial"/>
        <family val="2"/>
      </rPr>
      <t>Debt Servicing Calculators</t>
    </r>
    <r>
      <rPr>
        <sz val="8"/>
        <color theme="0"/>
        <rFont val="Arial"/>
        <family val="2"/>
      </rPr>
      <t xml:space="preserve"> are available on the adjoining worksheets (click below).</t>
    </r>
  </si>
  <si>
    <t xml:space="preserve">Residential </t>
  </si>
  <si>
    <t>Total</t>
  </si>
  <si>
    <t>Fee Calculator -  Excl GST Commercial</t>
  </si>
  <si>
    <t>Fee Calculator - Excl GST  Residential</t>
  </si>
  <si>
    <t>Valuations</t>
  </si>
  <si>
    <t>Estimated Cost</t>
  </si>
  <si>
    <t>Excluding GST</t>
  </si>
  <si>
    <t xml:space="preserve">Commercial </t>
  </si>
  <si>
    <t>Legals</t>
  </si>
  <si>
    <t>Standard</t>
  </si>
  <si>
    <t>Excl. GST</t>
  </si>
  <si>
    <t>Settlement Fee</t>
  </si>
  <si>
    <t>Title Insurance</t>
  </si>
  <si>
    <t>FC</t>
  </si>
  <si>
    <t>FC (GST Free)</t>
  </si>
  <si>
    <t>Loan</t>
  </si>
  <si>
    <t>Security 1</t>
  </si>
  <si>
    <t>Security 2</t>
  </si>
  <si>
    <t>Security 3</t>
  </si>
  <si>
    <t>MSD Payable</t>
  </si>
  <si>
    <t>https://stampduty.calculatorsaustralia.com.au/</t>
  </si>
  <si>
    <t>Land SD Payable</t>
  </si>
  <si>
    <t>MORTGAGE STAMP DUTY</t>
  </si>
  <si>
    <t>LAND STAMP DUTY SUMMARY 1</t>
  </si>
  <si>
    <t>LAND STAMP DUTY SUMMARY 2</t>
  </si>
  <si>
    <t>LAND STAMP DUTY SUMMARY 3</t>
  </si>
  <si>
    <t>State of Loan</t>
  </si>
  <si>
    <t>State (Purchase 1)</t>
  </si>
  <si>
    <t>State (Purchase 2)</t>
  </si>
  <si>
    <t>State (Purchase 3)</t>
  </si>
  <si>
    <t>Purchase Price</t>
  </si>
  <si>
    <t>Mortgage</t>
  </si>
  <si>
    <t>Mortgage Duty</t>
  </si>
  <si>
    <t>https://www.revenue.nsw.gov.au/taxes-duties-levies-royalties/transfer-duty</t>
  </si>
  <si>
    <t>Land Type</t>
  </si>
  <si>
    <t>Other</t>
  </si>
  <si>
    <t>SD Land</t>
  </si>
  <si>
    <t>SD Mortgage</t>
  </si>
  <si>
    <t>Land Purchase Value</t>
  </si>
  <si>
    <t>Mortgage Value</t>
  </si>
  <si>
    <t>Residential</t>
  </si>
  <si>
    <t>https://www.qld.gov.au/housing/buying-owning-home/advice-buying-home/transfer-duty/how-much-you-will-pay/calculating-transfer-duty/home-transfer-duty-concession-rates</t>
  </si>
  <si>
    <t>https://www.sro.vic.gov.au/calculators/land-transfer-calculator</t>
  </si>
  <si>
    <t>https://apps.osr.wa.gov.au/portal/0/home;jsessionid=MmqjpRgc8HWZvwmUoxZKdm3QuA4MtWh5lWUTUcW1m9_sKbLDJXEr!-911909975</t>
  </si>
  <si>
    <t>https://www.tro.tas.gov.au/Calculator/Duty</t>
  </si>
  <si>
    <t>https://www.revenue.act.gov.au/duties/conveyance-duty?result_1060955_result_page=2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</si>
</sst>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44" formatCode="_(&quot;$&quot;* #,##0.00_);_(&quot;$&quot;* \(#,##0.00\);_(&quot;$&quot;* &quot;-&quot;??_);_(@_)"/>
    <numFmt numFmtId="43" formatCode="_(* #,##0.00_);_(* \(#,##0.00\);_(* &quot;-&quot;??_);_(@_)"/>
    <numFmt numFmtId="164" formatCode="#,##0.00\ ;[Red]\(#,##0.00\)"/>
    <numFmt numFmtId="165" formatCode="&quot;$&quot;#,##0\ ;[Red]\(&quot;$&quot;#,##0\)"/>
    <numFmt numFmtId="166" formatCode="&quot;$&quot;#,##0\ ;\(&quot;$&quot;#,##0\)"/>
    <numFmt numFmtId="167" formatCode="0.0%"/>
    <numFmt numFmtId="168" formatCode="&quot;$&quot;#,##0.00"/>
    <numFmt numFmtId="169" formatCode="&quot;$&quot;#,##0.00;[Red]&quot;$&quot;#,##0.00"/>
    <numFmt numFmtId="171" formatCode="_-* #,##0_-;\-* #,##0_-;_-* &quot;-&quot;??_-;_-@_-"/>
    <numFmt numFmtId="172" formatCode="&quot;$&quot;#,##0_0;[Red]\(&quot;$&quot;#,##0\)"/>
    <numFmt numFmtId="173" formatCode="#,##0\ ;[Red]\(#,##0\)"/>
    <numFmt numFmtId="175" formatCode="_-&quot;$&quot;* #,##0_-;\-&quot;$&quot;* #,##0_-;_-&quot;$&quot;* &quot;-&quot;??_-;_-@_-"/>
    <numFmt numFmtId="176" formatCode=";;;"/>
    <numFmt numFmtId="177" formatCode="#,###.00_0;[Red]\(##,##0.00\)"/>
    <numFmt numFmtId="178" formatCode="[$-C09]dd\-mmmm\-yyyy;@"/>
    <numFmt numFmtId="179" formatCode="#,##0.0\ ;[Red]\(#,##0.0\)"/>
    <numFmt numFmtId="180" formatCode="#,##0\ ;\(#,##0\)"/>
    <numFmt numFmtId="181" formatCode="&quot;$&quot;#,##0.00\ ;[Red]\(&quot;$&quot;#,##0.00\)"/>
    <numFmt numFmtId="182" formatCode="&quot;$&quot;#,##0.0;[Red]&quot;$&quot;#,##0.0"/>
    <numFmt numFmtId="183" formatCode="0.0"/>
    <numFmt numFmtId="186" formatCode="0.000%"/>
  </numFmts>
  <fonts count="90" x14ac:knownFonts="1">
    <font>
      <sz val="10"/>
      <name val="Arial"/>
      <family val="2"/>
    </font>
    <font>
      <sz val="11"/>
      <color theme="1"/>
      <name val="Calibri"/>
      <family val="2"/>
      <scheme val="minor"/>
    </font>
    <font>
      <b/>
      <sz val="11"/>
      <color rgb="FF3F3F3F"/>
      <name val="Calibri"/>
      <family val="2"/>
      <scheme val="minor"/>
    </font>
    <font>
      <sz val="10"/>
      <name val="Arial"/>
      <family val="2"/>
    </font>
    <font>
      <b/>
      <sz val="10"/>
      <name val="Arial"/>
      <family val="2"/>
    </font>
    <font>
      <sz val="8"/>
      <name val="Arial"/>
      <family val="2"/>
    </font>
    <font>
      <sz val="11"/>
      <color indexed="9"/>
      <name val="Arial"/>
      <family val="2"/>
    </font>
    <font>
      <b/>
      <sz val="9"/>
      <color indexed="59"/>
      <name val="Arial"/>
      <family val="2"/>
    </font>
    <font>
      <sz val="9"/>
      <color theme="0"/>
      <name val="Arial"/>
      <family val="2"/>
    </font>
    <font>
      <b/>
      <sz val="16"/>
      <name val="Arial"/>
      <family val="2"/>
    </font>
    <font>
      <b/>
      <sz val="14"/>
      <name val="Arial Narrow"/>
      <family val="2"/>
    </font>
    <font>
      <b/>
      <sz val="14"/>
      <color indexed="55"/>
      <name val="Arial Narrow"/>
      <family val="2"/>
    </font>
    <font>
      <sz val="10"/>
      <color indexed="9"/>
      <name val="Arial Narrow"/>
      <family val="2"/>
    </font>
    <font>
      <sz val="10"/>
      <color indexed="9"/>
      <name val="Arial"/>
      <family val="2"/>
    </font>
    <font>
      <b/>
      <sz val="10"/>
      <name val="Arial Narrow"/>
      <family val="2"/>
    </font>
    <font>
      <b/>
      <sz val="8"/>
      <name val="Arial"/>
      <family val="2"/>
    </font>
    <font>
      <sz val="10"/>
      <name val="Arial Narrow"/>
      <family val="2"/>
    </font>
    <font>
      <sz val="9"/>
      <color indexed="55"/>
      <name val="Arial Narrow"/>
      <family val="2"/>
    </font>
    <font>
      <b/>
      <sz val="11"/>
      <name val="Arial Narrow"/>
      <family val="2"/>
    </font>
    <font>
      <sz val="8"/>
      <color indexed="8"/>
      <name val="Arial"/>
      <family val="2"/>
    </font>
    <font>
      <b/>
      <sz val="12"/>
      <name val="Arial Narrow"/>
      <family val="2"/>
    </font>
    <font>
      <sz val="10"/>
      <color rgb="FFC00000"/>
      <name val="Arial Narrow"/>
      <family val="2"/>
    </font>
    <font>
      <sz val="9"/>
      <color indexed="8"/>
      <name val="Arial"/>
      <family val="2"/>
    </font>
    <font>
      <sz val="10"/>
      <color indexed="8"/>
      <name val="Arial Narrow"/>
      <family val="2"/>
    </font>
    <font>
      <i/>
      <sz val="10"/>
      <name val="Arial Narrow"/>
      <family val="2"/>
    </font>
    <font>
      <sz val="9"/>
      <name val="Arial Narrow"/>
      <family val="2"/>
    </font>
    <font>
      <sz val="9"/>
      <color rgb="FFC00000"/>
      <name val="Arial"/>
      <family val="2"/>
    </font>
    <font>
      <i/>
      <sz val="9"/>
      <name val="Arial Narrow"/>
      <family val="2"/>
    </font>
    <font>
      <sz val="10"/>
      <color indexed="10"/>
      <name val="Arial Narrow"/>
      <family val="2"/>
    </font>
    <font>
      <sz val="10"/>
      <color rgb="FFFF0000"/>
      <name val="Arial Narrow"/>
      <family val="2"/>
    </font>
    <font>
      <sz val="9"/>
      <color indexed="10"/>
      <name val="Arial Narrow"/>
      <family val="2"/>
    </font>
    <font>
      <sz val="8"/>
      <color indexed="10"/>
      <name val="Arial Narrow"/>
      <family val="2"/>
    </font>
    <font>
      <b/>
      <sz val="9"/>
      <name val="Arial Narrow"/>
      <family val="2"/>
    </font>
    <font>
      <sz val="10"/>
      <color indexed="46"/>
      <name val="Arial Narrow"/>
      <family val="2"/>
    </font>
    <font>
      <sz val="8"/>
      <color indexed="22"/>
      <name val="Arial Narrow"/>
      <family val="2"/>
    </font>
    <font>
      <sz val="8"/>
      <name val="Arial Narrow"/>
      <family val="2"/>
    </font>
    <font>
      <sz val="10"/>
      <color indexed="22"/>
      <name val="Arial Narrow"/>
      <family val="2"/>
    </font>
    <font>
      <sz val="10"/>
      <color indexed="22"/>
      <name val="Arial"/>
      <family val="2"/>
    </font>
    <font>
      <b/>
      <sz val="12"/>
      <name val="Arial"/>
      <family val="2"/>
    </font>
    <font>
      <b/>
      <sz val="12"/>
      <color indexed="10"/>
      <name val="Arial"/>
      <family val="2"/>
    </font>
    <font>
      <sz val="8"/>
      <color theme="1"/>
      <name val="Arial"/>
      <family val="2"/>
    </font>
    <font>
      <b/>
      <sz val="8"/>
      <color theme="1"/>
      <name val="Arial"/>
      <family val="2"/>
    </font>
    <font>
      <sz val="10"/>
      <color rgb="FF0070C0"/>
      <name val="Arial Narrow"/>
      <family val="2"/>
    </font>
    <font>
      <sz val="8"/>
      <color theme="2" tint="-0.749992370372631"/>
      <name val="Arial Narrow"/>
      <family val="2"/>
    </font>
    <font>
      <sz val="9"/>
      <color theme="1"/>
      <name val="Arial"/>
      <family val="2"/>
    </font>
    <font>
      <i/>
      <sz val="10"/>
      <color rgb="FF0070C0"/>
      <name val="Arial Narrow"/>
      <family val="2"/>
    </font>
    <font>
      <sz val="9"/>
      <color indexed="81"/>
      <name val="Tahoma"/>
      <family val="2"/>
    </font>
    <font>
      <b/>
      <sz val="9"/>
      <color indexed="9"/>
      <name val="Arial"/>
      <family val="2"/>
    </font>
    <font>
      <b/>
      <u/>
      <sz val="9"/>
      <color indexed="9"/>
      <name val="Arial"/>
      <family val="2"/>
    </font>
    <font>
      <sz val="9"/>
      <color indexed="9"/>
      <name val="Arial"/>
      <family val="2"/>
    </font>
    <font>
      <b/>
      <sz val="10"/>
      <color indexed="9"/>
      <name val="Arial"/>
      <family val="2"/>
    </font>
    <font>
      <b/>
      <u/>
      <sz val="9"/>
      <color theme="1"/>
      <name val="Arial"/>
      <family val="2"/>
    </font>
    <font>
      <b/>
      <sz val="9"/>
      <color theme="1"/>
      <name val="Arial"/>
      <family val="2"/>
    </font>
    <font>
      <i/>
      <sz val="8"/>
      <color theme="1"/>
      <name val="Arial"/>
      <family val="2"/>
    </font>
    <font>
      <sz val="8"/>
      <color rgb="FF003399"/>
      <name val="Arial"/>
      <family val="2"/>
    </font>
    <font>
      <i/>
      <sz val="8"/>
      <color rgb="FF003399"/>
      <name val="Arial"/>
      <family val="2"/>
    </font>
    <font>
      <sz val="10"/>
      <name val="Calibri"/>
      <family val="2"/>
    </font>
    <font>
      <b/>
      <u/>
      <sz val="8"/>
      <color theme="1"/>
      <name val="Arial"/>
      <family val="2"/>
    </font>
    <font>
      <sz val="7"/>
      <color theme="1"/>
      <name val="Arial"/>
      <family val="2"/>
    </font>
    <font>
      <sz val="7"/>
      <color theme="0"/>
      <name val="Arial"/>
      <family val="2"/>
    </font>
    <font>
      <u/>
      <sz val="8"/>
      <color theme="1"/>
      <name val="Arial"/>
      <family val="2"/>
    </font>
    <font>
      <b/>
      <sz val="14"/>
      <name val="Arial"/>
      <family val="2"/>
    </font>
    <font>
      <sz val="10"/>
      <color theme="1"/>
      <name val="Arial"/>
      <family val="2"/>
    </font>
    <font>
      <sz val="8"/>
      <color theme="0"/>
      <name val="Arial Narrow"/>
      <family val="2"/>
    </font>
    <font>
      <b/>
      <sz val="8"/>
      <name val="Arial Narrow"/>
      <family val="2"/>
    </font>
    <font>
      <b/>
      <sz val="10"/>
      <color rgb="FF0070C0"/>
      <name val="Arial Narrow"/>
      <family val="2"/>
    </font>
    <font>
      <b/>
      <sz val="7"/>
      <color rgb="FF0070C0"/>
      <name val="Arial Narrow"/>
      <family val="2"/>
    </font>
    <font>
      <sz val="9"/>
      <color indexed="18"/>
      <name val="Arial"/>
      <family val="2"/>
    </font>
    <font>
      <sz val="10"/>
      <color theme="0"/>
      <name val="Arial"/>
      <family val="2"/>
    </font>
    <font>
      <sz val="10"/>
      <color theme="0"/>
      <name val="Arial Narrow"/>
      <family val="2"/>
    </font>
    <font>
      <sz val="8"/>
      <color indexed="8"/>
      <name val="Arial Narrow"/>
      <family val="2"/>
    </font>
    <font>
      <b/>
      <sz val="9"/>
      <color indexed="8"/>
      <name val="Arial"/>
      <family val="2"/>
    </font>
    <font>
      <sz val="10"/>
      <color rgb="FFFF0000"/>
      <name val="Arial"/>
      <family val="2"/>
    </font>
    <font>
      <sz val="8"/>
      <color rgb="FFFF0000"/>
      <name val="Arial"/>
      <family val="2"/>
    </font>
    <font>
      <sz val="10"/>
      <color indexed="18"/>
      <name val="Arial Narrow"/>
      <family val="2"/>
    </font>
    <font>
      <i/>
      <sz val="10"/>
      <color rgb="FFC00000"/>
      <name val="Arial Narrow"/>
      <family val="2"/>
    </font>
    <font>
      <sz val="10"/>
      <name val="Wingdings"/>
      <charset val="2"/>
    </font>
    <font>
      <b/>
      <sz val="10"/>
      <color indexed="8"/>
      <name val="Arial Narrow"/>
      <family val="2"/>
    </font>
    <font>
      <sz val="10"/>
      <color theme="1"/>
      <name val="Arial Narrow"/>
      <family val="2"/>
    </font>
    <font>
      <sz val="10"/>
      <color rgb="FF3660AB"/>
      <name val="Arial"/>
      <family val="2"/>
    </font>
    <font>
      <sz val="10"/>
      <color rgb="FF3660AB"/>
      <name val="Arial Narrow"/>
      <family val="2"/>
    </font>
    <font>
      <sz val="8"/>
      <color theme="0"/>
      <name val="Arial"/>
      <family val="2"/>
    </font>
    <font>
      <sz val="10"/>
      <color theme="0" tint="-4.9989318521683403E-2"/>
      <name val="Arial Narrow"/>
      <family val="2"/>
    </font>
    <font>
      <sz val="8"/>
      <color theme="0" tint="-4.9989318521683403E-2"/>
      <name val="Arial Narrow"/>
      <family val="2"/>
    </font>
    <font>
      <b/>
      <sz val="10"/>
      <color theme="0" tint="-4.9989318521683403E-2"/>
      <name val="Arial Narrow"/>
      <family val="2"/>
    </font>
    <font>
      <sz val="9"/>
      <color theme="0" tint="-4.9989318521683403E-2"/>
      <name val="Arial"/>
      <family val="2"/>
    </font>
    <font>
      <sz val="10"/>
      <color theme="0" tint="-4.9989318521683403E-2"/>
      <name val="Arial"/>
      <family val="2"/>
    </font>
    <font>
      <sz val="11"/>
      <name val="Arial Narrow"/>
      <family val="2"/>
    </font>
    <font>
      <b/>
      <sz val="8"/>
      <color theme="0"/>
      <name val="Arial"/>
      <family val="2"/>
    </font>
    <font>
      <u/>
      <sz val="10"/>
      <color theme="10"/>
      <name val="Arial"/>
      <family val="2"/>
    </font>
  </fonts>
  <fills count="29">
    <fill>
      <patternFill patternType="none"/>
    </fill>
    <fill>
      <patternFill patternType="gray125"/>
    </fill>
    <fill>
      <patternFill patternType="solid">
        <fgColor rgb="FFF2F2F2"/>
      </patternFill>
    </fill>
    <fill>
      <patternFill patternType="solid">
        <fgColor rgb="FFFFFFCC"/>
        <bgColor indexed="64"/>
      </patternFill>
    </fill>
    <fill>
      <patternFill patternType="solid">
        <fgColor theme="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indexed="53"/>
        <bgColor indexed="64"/>
      </patternFill>
    </fill>
    <fill>
      <patternFill patternType="solid">
        <fgColor rgb="FFCCCCFF"/>
        <bgColor indexed="64"/>
      </patternFill>
    </fill>
    <fill>
      <patternFill patternType="solid">
        <fgColor rgb="FFEFEFFF"/>
        <bgColor indexed="64"/>
      </patternFill>
    </fill>
    <fill>
      <patternFill patternType="solid">
        <fgColor rgb="FF8DB4E2"/>
        <bgColor indexed="64"/>
      </patternFill>
    </fill>
    <fill>
      <patternFill patternType="solid">
        <fgColor rgb="FF0070C0"/>
        <bgColor indexed="64"/>
      </patternFill>
    </fill>
    <fill>
      <patternFill patternType="solid">
        <fgColor rgb="FFFFC000"/>
        <bgColor indexed="64"/>
      </patternFill>
    </fill>
    <fill>
      <patternFill patternType="solid">
        <fgColor rgb="FFC5D9F1"/>
        <bgColor indexed="64"/>
      </patternFill>
    </fill>
    <fill>
      <patternFill patternType="solid">
        <fgColor indexed="9"/>
        <bgColor indexed="64"/>
      </patternFill>
    </fill>
    <fill>
      <patternFill patternType="solid">
        <fgColor rgb="FFF2F2F2"/>
        <bgColor indexed="64"/>
      </patternFill>
    </fill>
    <fill>
      <patternFill patternType="solid">
        <fgColor rgb="FFCCC0DA"/>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20"/>
        <bgColor indexed="64"/>
      </patternFill>
    </fill>
    <fill>
      <patternFill patternType="solid">
        <fgColor indexed="57"/>
        <bgColor indexed="64"/>
      </patternFill>
    </fill>
    <fill>
      <patternFill patternType="solid">
        <fgColor indexed="42"/>
        <bgColor indexed="64"/>
      </patternFill>
    </fill>
    <fill>
      <patternFill patternType="solid">
        <fgColor theme="5" tint="0.39997558519241921"/>
        <bgColor indexed="64"/>
      </patternFill>
    </fill>
    <fill>
      <patternFill patternType="solid">
        <fgColor theme="5" tint="0.79998168889431442"/>
        <bgColor indexed="64"/>
      </patternFill>
    </fill>
  </fills>
  <borders count="126">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right/>
      <top style="medium">
        <color indexed="30"/>
      </top>
      <bottom style="thin">
        <color indexed="30"/>
      </bottom>
      <diagonal/>
    </border>
    <border>
      <left style="medium">
        <color indexed="30"/>
      </left>
      <right/>
      <top style="thin">
        <color indexed="30"/>
      </top>
      <bottom/>
      <diagonal/>
    </border>
    <border>
      <left/>
      <right/>
      <top style="thin">
        <color indexed="30"/>
      </top>
      <bottom/>
      <diagonal/>
    </border>
    <border>
      <left/>
      <right style="thin">
        <color indexed="9"/>
      </right>
      <top style="thin">
        <color indexed="30"/>
      </top>
      <bottom/>
      <diagonal/>
    </border>
    <border>
      <left style="thin">
        <color indexed="9"/>
      </left>
      <right/>
      <top style="thin">
        <color indexed="30"/>
      </top>
      <bottom/>
      <diagonal/>
    </border>
    <border>
      <left/>
      <right style="medium">
        <color indexed="30"/>
      </right>
      <top style="thin">
        <color indexed="30"/>
      </top>
      <bottom/>
      <diagonal/>
    </border>
    <border>
      <left style="medium">
        <color indexed="30"/>
      </left>
      <right/>
      <top/>
      <bottom/>
      <diagonal/>
    </border>
    <border>
      <left/>
      <right style="thin">
        <color indexed="9"/>
      </right>
      <top/>
      <bottom/>
      <diagonal/>
    </border>
    <border>
      <left style="thin">
        <color indexed="9"/>
      </left>
      <right/>
      <top/>
      <bottom/>
      <diagonal/>
    </border>
    <border>
      <left/>
      <right style="medium">
        <color indexed="30"/>
      </right>
      <top/>
      <bottom/>
      <diagonal/>
    </border>
    <border>
      <left style="medium">
        <color indexed="30"/>
      </left>
      <right/>
      <top/>
      <bottom style="thin">
        <color indexed="30"/>
      </bottom>
      <diagonal/>
    </border>
    <border>
      <left/>
      <right/>
      <top/>
      <bottom style="thin">
        <color indexed="30"/>
      </bottom>
      <diagonal/>
    </border>
    <border>
      <left/>
      <right style="thin">
        <color indexed="9"/>
      </right>
      <top/>
      <bottom style="thin">
        <color indexed="30"/>
      </bottom>
      <diagonal/>
    </border>
    <border>
      <left style="thin">
        <color indexed="9"/>
      </left>
      <right/>
      <top/>
      <bottom style="thin">
        <color indexed="30"/>
      </bottom>
      <diagonal/>
    </border>
    <border>
      <left/>
      <right style="medium">
        <color indexed="30"/>
      </right>
      <top/>
      <bottom style="thin">
        <color indexed="30"/>
      </bottom>
      <diagonal/>
    </border>
    <border>
      <left style="medium">
        <color indexed="46"/>
      </left>
      <right style="medium">
        <color indexed="46"/>
      </right>
      <top style="medium">
        <color indexed="46"/>
      </top>
      <bottom style="medium">
        <color indexed="46"/>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30"/>
      </left>
      <right/>
      <top style="medium">
        <color indexed="30"/>
      </top>
      <bottom/>
      <diagonal/>
    </border>
    <border>
      <left/>
      <right/>
      <top style="medium">
        <color indexed="30"/>
      </top>
      <bottom/>
      <diagonal/>
    </border>
    <border>
      <left/>
      <right style="medium">
        <color indexed="30"/>
      </right>
      <top style="medium">
        <color indexed="30"/>
      </top>
      <bottom/>
      <diagonal/>
    </border>
    <border>
      <left style="medium">
        <color indexed="30"/>
      </left>
      <right/>
      <top/>
      <bottom style="medium">
        <color indexed="30"/>
      </bottom>
      <diagonal/>
    </border>
    <border>
      <left/>
      <right/>
      <top/>
      <bottom style="medium">
        <color indexed="30"/>
      </bottom>
      <diagonal/>
    </border>
    <border>
      <left/>
      <right style="medium">
        <color indexed="30"/>
      </right>
      <top/>
      <bottom style="medium">
        <color indexed="30"/>
      </bottom>
      <diagonal/>
    </border>
    <border>
      <left/>
      <right/>
      <top style="thin">
        <color indexed="30"/>
      </top>
      <bottom style="thin">
        <color indexed="30"/>
      </bottom>
      <diagonal/>
    </border>
    <border>
      <left/>
      <right style="thin">
        <color indexed="30"/>
      </right>
      <top style="thin">
        <color indexed="30"/>
      </top>
      <bottom style="thin">
        <color indexed="30"/>
      </bottom>
      <diagonal/>
    </border>
    <border>
      <left style="medium">
        <color rgb="FFEFEFFF"/>
      </left>
      <right style="medium">
        <color rgb="FFEFEFFF"/>
      </right>
      <top style="medium">
        <color rgb="FFEFEFFF"/>
      </top>
      <bottom style="medium">
        <color rgb="FFEFEFFF"/>
      </bottom>
      <diagonal/>
    </border>
    <border>
      <left style="medium">
        <color rgb="FFEFEFFF"/>
      </left>
      <right style="medium">
        <color rgb="FFEFEFFF"/>
      </right>
      <top/>
      <bottom style="medium">
        <color rgb="FFEFEFFF"/>
      </bottom>
      <diagonal/>
    </border>
    <border>
      <left style="medium">
        <color indexed="31"/>
      </left>
      <right/>
      <top style="medium">
        <color indexed="31"/>
      </top>
      <bottom style="medium">
        <color indexed="31"/>
      </bottom>
      <diagonal/>
    </border>
    <border>
      <left/>
      <right style="medium">
        <color indexed="31"/>
      </right>
      <top style="medium">
        <color indexed="31"/>
      </top>
      <bottom style="medium">
        <color indexed="31"/>
      </bottom>
      <diagonal/>
    </border>
    <border>
      <left/>
      <right/>
      <top/>
      <bottom style="thin">
        <color indexed="2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bottom/>
      <diagonal/>
    </border>
    <border>
      <left/>
      <right style="thin">
        <color theme="1"/>
      </right>
      <top/>
      <bottom/>
      <diagonal/>
    </border>
    <border>
      <left style="double">
        <color indexed="64"/>
      </left>
      <right style="hair">
        <color indexed="64"/>
      </right>
      <top/>
      <bottom/>
      <diagonal/>
    </border>
    <border>
      <left/>
      <right style="hair">
        <color auto="1"/>
      </right>
      <top/>
      <bottom style="hair">
        <color rgb="FFCCCCFF"/>
      </bottom>
      <diagonal/>
    </border>
    <border>
      <left style="hair">
        <color auto="1"/>
      </left>
      <right/>
      <top style="thin">
        <color indexed="64"/>
      </top>
      <bottom style="hair">
        <color rgb="FFCCCCFF"/>
      </bottom>
      <diagonal/>
    </border>
    <border>
      <left/>
      <right style="double">
        <color indexed="64"/>
      </right>
      <top style="thin">
        <color indexed="64"/>
      </top>
      <bottom style="hair">
        <color rgb="FFCCCCFF"/>
      </bottom>
      <diagonal/>
    </border>
    <border>
      <left style="double">
        <color indexed="64"/>
      </left>
      <right/>
      <top/>
      <bottom/>
      <diagonal/>
    </border>
    <border>
      <left/>
      <right style="hair">
        <color auto="1"/>
      </right>
      <top style="thin">
        <color indexed="64"/>
      </top>
      <bottom style="hair">
        <color rgb="FFCCCCFF"/>
      </bottom>
      <diagonal/>
    </border>
    <border>
      <left/>
      <right/>
      <top style="thin">
        <color indexed="64"/>
      </top>
      <bottom style="hair">
        <color rgb="FFCCCCFF"/>
      </bottom>
      <diagonal/>
    </border>
    <border>
      <left/>
      <right style="hair">
        <color auto="1"/>
      </right>
      <top style="hair">
        <color rgb="FFCCCCFF"/>
      </top>
      <bottom style="hair">
        <color rgb="FFCCCCFF"/>
      </bottom>
      <diagonal/>
    </border>
    <border>
      <left style="hair">
        <color indexed="64"/>
      </left>
      <right style="hair">
        <color indexed="64"/>
      </right>
      <top style="hair">
        <color rgb="FFCCCCFF"/>
      </top>
      <bottom style="hair">
        <color rgb="FFCCCCFF"/>
      </bottom>
      <diagonal/>
    </border>
    <border>
      <left style="hair">
        <color indexed="64"/>
      </left>
      <right/>
      <top style="hair">
        <color rgb="FFCCCCFF"/>
      </top>
      <bottom style="hair">
        <color rgb="FFCCCCFF"/>
      </bottom>
      <diagonal/>
    </border>
    <border>
      <left/>
      <right style="double">
        <color indexed="64"/>
      </right>
      <top style="hair">
        <color rgb="FFCCCCFF"/>
      </top>
      <bottom style="hair">
        <color rgb="FFCCCCFF"/>
      </bottom>
      <diagonal/>
    </border>
    <border>
      <left/>
      <right/>
      <top style="hair">
        <color rgb="FFCCCCFF"/>
      </top>
      <bottom style="hair">
        <color rgb="FFCCCCFF"/>
      </bottom>
      <diagonal/>
    </border>
    <border>
      <left/>
      <right style="hair">
        <color auto="1"/>
      </right>
      <top style="hair">
        <color rgb="FFCCCCFF"/>
      </top>
      <bottom/>
      <diagonal/>
    </border>
    <border>
      <left style="hair">
        <color indexed="64"/>
      </left>
      <right style="hair">
        <color indexed="64"/>
      </right>
      <top style="hair">
        <color rgb="FFCCCCFF"/>
      </top>
      <bottom/>
      <diagonal/>
    </border>
    <border>
      <left style="hair">
        <color indexed="64"/>
      </left>
      <right/>
      <top style="hair">
        <color rgb="FFCCCCFF"/>
      </top>
      <bottom style="double">
        <color indexed="64"/>
      </bottom>
      <diagonal/>
    </border>
    <border>
      <left/>
      <right style="double">
        <color indexed="64"/>
      </right>
      <top style="hair">
        <color rgb="FFCCCCFF"/>
      </top>
      <bottom style="double">
        <color indexed="64"/>
      </bottom>
      <diagonal/>
    </border>
    <border>
      <left style="double">
        <color indexed="64"/>
      </left>
      <right style="hair">
        <color indexed="64"/>
      </right>
      <top/>
      <bottom style="double">
        <color indexed="64"/>
      </bottom>
      <diagonal/>
    </border>
    <border>
      <left/>
      <right style="hair">
        <color auto="1"/>
      </right>
      <top style="double">
        <color indexed="64"/>
      </top>
      <bottom style="double">
        <color indexed="64"/>
      </bottom>
      <diagonal/>
    </border>
    <border>
      <left style="hair">
        <color auto="1"/>
      </left>
      <right style="hair">
        <color auto="1"/>
      </right>
      <top style="double">
        <color indexed="64"/>
      </top>
      <bottom style="double">
        <color indexed="64"/>
      </bottom>
      <diagonal/>
    </border>
    <border>
      <left style="hair">
        <color auto="1"/>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top style="hair">
        <color rgb="FFCCCCFF"/>
      </top>
      <bottom/>
      <diagonal/>
    </border>
    <border>
      <left/>
      <right/>
      <top style="hair">
        <color rgb="FFCCCCFF"/>
      </top>
      <bottom style="double">
        <color indexed="64"/>
      </bottom>
      <diagonal/>
    </border>
    <border>
      <left/>
      <right style="hair">
        <color auto="1"/>
      </right>
      <top style="thin">
        <color indexed="64"/>
      </top>
      <bottom/>
      <diagonal/>
    </border>
    <border>
      <left/>
      <right style="hair">
        <color auto="1"/>
      </right>
      <top style="double">
        <color theme="1"/>
      </top>
      <bottom style="double">
        <color indexed="64"/>
      </bottom>
      <diagonal/>
    </border>
    <border>
      <left style="hair">
        <color auto="1"/>
      </left>
      <right style="hair">
        <color auto="1"/>
      </right>
      <top style="double">
        <color theme="1"/>
      </top>
      <bottom style="double">
        <color indexed="64"/>
      </bottom>
      <diagonal/>
    </border>
    <border>
      <left style="hair">
        <color indexed="64"/>
      </left>
      <right/>
      <top style="double">
        <color theme="1"/>
      </top>
      <bottom style="double">
        <color indexed="64"/>
      </bottom>
      <diagonal/>
    </border>
    <border>
      <left/>
      <right style="double">
        <color indexed="64"/>
      </right>
      <top style="double">
        <color theme="1"/>
      </top>
      <bottom style="double">
        <color indexed="64"/>
      </bottom>
      <diagonal/>
    </border>
    <border>
      <left/>
      <right/>
      <top/>
      <bottom style="hair">
        <color rgb="FFCCCCFF"/>
      </bottom>
      <diagonal/>
    </border>
    <border>
      <left/>
      <right style="double">
        <color indexed="64"/>
      </right>
      <top style="hair">
        <color rgb="FFCCCCFF"/>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style="hair">
        <color indexed="64"/>
      </left>
      <right style="hair">
        <color indexed="64"/>
      </right>
      <top/>
      <bottom style="hair">
        <color rgb="FFCCCCFF"/>
      </bottom>
      <diagonal/>
    </border>
    <border>
      <left style="hair">
        <color auto="1"/>
      </left>
      <right/>
      <top/>
      <bottom style="double">
        <color indexed="64"/>
      </bottom>
      <diagonal/>
    </border>
    <border>
      <left/>
      <right style="double">
        <color indexed="64"/>
      </right>
      <top/>
      <bottom style="double">
        <color indexed="64"/>
      </bottom>
      <diagonal/>
    </border>
    <border>
      <left/>
      <right/>
      <top/>
      <bottom style="thin">
        <color theme="1"/>
      </bottom>
      <diagonal/>
    </border>
    <border>
      <left style="hair">
        <color auto="1"/>
      </left>
      <right style="double">
        <color auto="1"/>
      </right>
      <top/>
      <bottom style="hair">
        <color rgb="FFCCCCFF"/>
      </bottom>
      <diagonal/>
    </border>
    <border>
      <left style="hair">
        <color indexed="64"/>
      </left>
      <right style="double">
        <color indexed="64"/>
      </right>
      <top style="hair">
        <color rgb="FFCCCCFF"/>
      </top>
      <bottom style="hair">
        <color rgb="FFCCCCFF"/>
      </bottom>
      <diagonal/>
    </border>
    <border>
      <left style="hair">
        <color indexed="64"/>
      </left>
      <right style="hair">
        <color indexed="64"/>
      </right>
      <top style="hair">
        <color rgb="FFCCCCFF"/>
      </top>
      <bottom style="double">
        <color indexed="64"/>
      </bottom>
      <diagonal/>
    </border>
    <border>
      <left/>
      <right style="hair">
        <color indexed="64"/>
      </right>
      <top style="hair">
        <color rgb="FFCCCCFF"/>
      </top>
      <bottom style="double">
        <color auto="1"/>
      </bottom>
      <diagonal/>
    </border>
    <border>
      <left style="hair">
        <color indexed="64"/>
      </left>
      <right style="double">
        <color indexed="64"/>
      </right>
      <top style="hair">
        <color rgb="FFCCCCFF"/>
      </top>
      <bottom style="double">
        <color indexed="64"/>
      </bottom>
      <diagonal/>
    </border>
    <border>
      <left style="double">
        <color indexed="64"/>
      </left>
      <right style="hair">
        <color auto="1"/>
      </right>
      <top style="thin">
        <color indexed="64"/>
      </top>
      <bottom style="hair">
        <color rgb="FFCCCCFF"/>
      </bottom>
      <diagonal/>
    </border>
    <border>
      <left style="double">
        <color indexed="64"/>
      </left>
      <right style="hair">
        <color auto="1"/>
      </right>
      <top style="hair">
        <color rgb="FFCCCCFF"/>
      </top>
      <bottom style="hair">
        <color rgb="FFCCCCFF"/>
      </bottom>
      <diagonal/>
    </border>
    <border>
      <left style="double">
        <color indexed="64"/>
      </left>
      <right style="hair">
        <color indexed="64"/>
      </right>
      <top style="hair">
        <color rgb="FFCCCCFF"/>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double">
        <color theme="2" tint="-0.499984740745262"/>
      </bottom>
      <diagonal/>
    </border>
    <border>
      <left style="thin">
        <color theme="1"/>
      </left>
      <right/>
      <top/>
      <bottom style="thin">
        <color theme="1"/>
      </bottom>
      <diagonal/>
    </border>
    <border>
      <left/>
      <right style="thin">
        <color theme="1"/>
      </right>
      <top/>
      <bottom style="thin">
        <color theme="1"/>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rgb="FF003399"/>
      </left>
      <right style="thin">
        <color rgb="FF003399"/>
      </right>
      <top style="thin">
        <color rgb="FF003399"/>
      </top>
      <bottom style="thin">
        <color rgb="FF003399"/>
      </bottom>
      <diagonal/>
    </border>
    <border>
      <left/>
      <right/>
      <top/>
      <bottom style="medium">
        <color indexed="46"/>
      </bottom>
      <diagonal/>
    </border>
    <border>
      <left/>
      <right/>
      <top style="medium">
        <color indexed="46"/>
      </top>
      <bottom/>
      <diagonal/>
    </border>
    <border>
      <left style="medium">
        <color indexed="46"/>
      </left>
      <right/>
      <top style="medium">
        <color indexed="46"/>
      </top>
      <bottom style="medium">
        <color indexed="46"/>
      </bottom>
      <diagonal/>
    </border>
    <border>
      <left style="thin">
        <color theme="0"/>
      </left>
      <right/>
      <top style="thin">
        <color indexed="30"/>
      </top>
      <bottom/>
      <diagonal/>
    </border>
    <border>
      <left/>
      <right style="thin">
        <color theme="0"/>
      </right>
      <top style="thin">
        <color indexed="30"/>
      </top>
      <bottom/>
      <diagonal/>
    </border>
    <border>
      <left style="thin">
        <color theme="0"/>
      </left>
      <right/>
      <top/>
      <bottom/>
      <diagonal/>
    </border>
    <border>
      <left style="thin">
        <color theme="0"/>
      </left>
      <right/>
      <top/>
      <bottom style="thin">
        <color indexed="30"/>
      </bottom>
      <diagonal/>
    </border>
    <border>
      <left/>
      <right style="thin">
        <color theme="0"/>
      </right>
      <top/>
      <bottom style="thin">
        <color indexed="30"/>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48"/>
      </left>
      <right/>
      <top style="medium">
        <color indexed="48"/>
      </top>
      <bottom style="medium">
        <color indexed="48"/>
      </bottom>
      <diagonal/>
    </border>
    <border>
      <left/>
      <right/>
      <top style="medium">
        <color indexed="48"/>
      </top>
      <bottom style="medium">
        <color indexed="48"/>
      </bottom>
      <diagonal/>
    </border>
    <border>
      <left/>
      <right style="medium">
        <color indexed="48"/>
      </right>
      <top style="medium">
        <color indexed="48"/>
      </top>
      <bottom style="medium">
        <color indexed="48"/>
      </bottom>
      <diagonal/>
    </border>
    <border>
      <left style="medium">
        <color indexed="48"/>
      </left>
      <right style="medium">
        <color indexed="48"/>
      </right>
      <top style="medium">
        <color indexed="48"/>
      </top>
      <bottom/>
      <diagonal/>
    </border>
    <border>
      <left style="medium">
        <color indexed="48"/>
      </left>
      <right style="medium">
        <color indexed="48"/>
      </right>
      <top/>
      <bottom/>
      <diagonal/>
    </border>
    <border>
      <left style="medium">
        <color indexed="48"/>
      </left>
      <right style="medium">
        <color indexed="48"/>
      </right>
      <top/>
      <bottom style="medium">
        <color indexed="48"/>
      </bottom>
      <diagonal/>
    </border>
    <border>
      <left style="thin">
        <color indexed="48"/>
      </left>
      <right style="thin">
        <color indexed="48"/>
      </right>
      <top style="thin">
        <color indexed="48"/>
      </top>
      <bottom style="medium">
        <color indexed="48"/>
      </bottom>
      <diagonal/>
    </border>
    <border>
      <left style="medium">
        <color indexed="48"/>
      </left>
      <right style="medium">
        <color indexed="48"/>
      </right>
      <top style="medium">
        <color indexed="48"/>
      </top>
      <bottom style="medium">
        <color indexed="48"/>
      </bottom>
      <diagonal/>
    </border>
    <border>
      <left style="thin">
        <color indexed="48"/>
      </left>
      <right style="thin">
        <color indexed="48"/>
      </right>
      <top style="medium">
        <color indexed="48"/>
      </top>
      <bottom style="thin">
        <color indexed="48"/>
      </bottom>
      <diagonal/>
    </border>
    <border>
      <left style="thin">
        <color indexed="48"/>
      </left>
      <right style="thin">
        <color indexed="48"/>
      </right>
      <top style="thin">
        <color indexed="48"/>
      </top>
      <bottom style="thin">
        <color indexed="48"/>
      </bottom>
      <diagonal/>
    </border>
    <border>
      <left style="medium">
        <color indexed="48"/>
      </left>
      <right/>
      <top/>
      <bottom/>
      <diagonal/>
    </border>
  </borders>
  <cellStyleXfs count="13">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2" borderId="1" applyNumberFormat="0" applyAlignment="0" applyProtection="0"/>
    <xf numFmtId="0" fontId="40" fillId="0" borderId="0"/>
    <xf numFmtId="9" fontId="40" fillId="0" borderId="0" applyFont="0" applyFill="0" applyBorder="0" applyAlignment="0" applyProtection="0"/>
    <xf numFmtId="43" fontId="3" fillId="0" borderId="0" applyFont="0" applyFill="0" applyBorder="0" applyAlignment="0" applyProtection="0"/>
    <xf numFmtId="0" fontId="3" fillId="0" borderId="0"/>
    <xf numFmtId="0" fontId="40" fillId="0" borderId="0"/>
    <xf numFmtId="43" fontId="1" fillId="0" borderId="0" applyFont="0" applyFill="0" applyBorder="0" applyAlignment="0" applyProtection="0"/>
    <xf numFmtId="44" fontId="3" fillId="0" borderId="0" applyFont="0" applyFill="0" applyBorder="0" applyAlignment="0" applyProtection="0"/>
    <xf numFmtId="0" fontId="89" fillId="0" borderId="0" applyNumberFormat="0" applyFill="0" applyBorder="0" applyAlignment="0" applyProtection="0"/>
  </cellStyleXfs>
  <cellXfs count="692">
    <xf numFmtId="0" fontId="0" fillId="0" borderId="0" xfId="0"/>
    <xf numFmtId="0" fontId="4" fillId="0" borderId="0" xfId="0" applyFont="1"/>
    <xf numFmtId="0" fontId="3" fillId="0" borderId="0" xfId="0" applyFont="1"/>
    <xf numFmtId="0" fontId="5" fillId="0" borderId="0" xfId="0" applyFont="1"/>
    <xf numFmtId="0" fontId="6" fillId="4" borderId="0" xfId="0" applyFont="1" applyFill="1"/>
    <xf numFmtId="0" fontId="9" fillId="0" borderId="4" xfId="0" applyFont="1" applyBorder="1" applyAlignment="1">
      <alignment horizontal="right" vertical="center"/>
    </xf>
    <xf numFmtId="0" fontId="9" fillId="0" borderId="4" xfId="0" applyFont="1" applyBorder="1" applyAlignment="1">
      <alignment horizontal="left" vertical="center"/>
    </xf>
    <xf numFmtId="0" fontId="12" fillId="4" borderId="5" xfId="0" applyFont="1" applyFill="1" applyBorder="1"/>
    <xf numFmtId="0" fontId="12" fillId="4" borderId="6" xfId="0" applyFont="1" applyFill="1" applyBorder="1"/>
    <xf numFmtId="0" fontId="12" fillId="4" borderId="7" xfId="0" applyFont="1" applyFill="1" applyBorder="1"/>
    <xf numFmtId="0" fontId="12" fillId="4" borderId="8" xfId="0" applyFont="1" applyFill="1" applyBorder="1"/>
    <xf numFmtId="0" fontId="13" fillId="4" borderId="6" xfId="0" applyFont="1" applyFill="1" applyBorder="1"/>
    <xf numFmtId="0" fontId="12" fillId="4" borderId="9" xfId="0" applyFont="1" applyFill="1" applyBorder="1"/>
    <xf numFmtId="0" fontId="14" fillId="3" borderId="0" xfId="0" applyFont="1" applyFill="1" applyAlignment="1" applyProtection="1">
      <alignment horizontal="right"/>
      <protection locked="0"/>
    </xf>
    <xf numFmtId="0" fontId="12" fillId="4" borderId="10" xfId="0" applyFont="1" applyFill="1" applyBorder="1"/>
    <xf numFmtId="0" fontId="6" fillId="4" borderId="11" xfId="0" applyFont="1" applyFill="1" applyBorder="1"/>
    <xf numFmtId="0" fontId="6" fillId="4" borderId="12" xfId="0" applyFont="1" applyFill="1" applyBorder="1"/>
    <xf numFmtId="0" fontId="12" fillId="4" borderId="13" xfId="0" applyFont="1" applyFill="1" applyBorder="1"/>
    <xf numFmtId="16" fontId="14" fillId="3" borderId="0" xfId="0" applyNumberFormat="1" applyFont="1" applyFill="1" applyProtection="1">
      <protection locked="0"/>
    </xf>
    <xf numFmtId="0" fontId="12" fillId="4" borderId="14" xfId="0" applyFont="1" applyFill="1" applyBorder="1"/>
    <xf numFmtId="0" fontId="12" fillId="4" borderId="15" xfId="0" applyFont="1" applyFill="1" applyBorder="1"/>
    <xf numFmtId="0" fontId="12" fillId="4" borderId="16" xfId="0" applyFont="1" applyFill="1" applyBorder="1"/>
    <xf numFmtId="0" fontId="12" fillId="4" borderId="17" xfId="0" applyFont="1" applyFill="1" applyBorder="1"/>
    <xf numFmtId="0" fontId="13" fillId="4" borderId="15" xfId="0" applyFont="1" applyFill="1" applyBorder="1"/>
    <xf numFmtId="0" fontId="12" fillId="4" borderId="18" xfId="0" applyFont="1" applyFill="1" applyBorder="1"/>
    <xf numFmtId="0" fontId="5" fillId="0" borderId="0" xfId="0" applyFont="1" applyAlignment="1">
      <alignment horizontal="right" vertical="center"/>
    </xf>
    <xf numFmtId="10" fontId="19" fillId="6" borderId="19" xfId="3" applyNumberFormat="1" applyFont="1" applyFill="1" applyBorder="1" applyAlignment="1" applyProtection="1">
      <alignment horizontal="center" vertical="center"/>
      <protection locked="0"/>
    </xf>
    <xf numFmtId="0" fontId="5" fillId="0" borderId="20" xfId="0" applyFont="1" applyBorder="1" applyAlignment="1">
      <alignment vertical="center"/>
    </xf>
    <xf numFmtId="0" fontId="5" fillId="0" borderId="20" xfId="0" applyFont="1" applyBorder="1" applyAlignment="1">
      <alignment horizontal="center" vertical="center"/>
    </xf>
    <xf numFmtId="0" fontId="5" fillId="0" borderId="0" xfId="0" applyFont="1" applyAlignment="1">
      <alignment horizontal="center"/>
    </xf>
    <xf numFmtId="0" fontId="0" fillId="0" borderId="0" xfId="0" applyAlignment="1">
      <alignment vertical="center"/>
    </xf>
    <xf numFmtId="0" fontId="5" fillId="0" borderId="0" xfId="0" applyFont="1" applyAlignment="1">
      <alignment vertical="center"/>
    </xf>
    <xf numFmtId="0" fontId="5" fillId="0" borderId="0" xfId="0" applyFont="1" applyAlignment="1">
      <alignment horizontal="center" vertical="center"/>
    </xf>
    <xf numFmtId="166" fontId="5" fillId="0" borderId="0" xfId="0" applyNumberFormat="1" applyFont="1" applyAlignment="1">
      <alignment horizontal="center" vertical="center"/>
    </xf>
    <xf numFmtId="166" fontId="5" fillId="0" borderId="0" xfId="0" applyNumberFormat="1" applyFont="1" applyAlignment="1">
      <alignment vertical="center"/>
    </xf>
    <xf numFmtId="166" fontId="5" fillId="7" borderId="22" xfId="0" applyNumberFormat="1" applyFont="1" applyFill="1" applyBorder="1" applyAlignment="1">
      <alignment vertical="center"/>
    </xf>
    <xf numFmtId="166" fontId="5" fillId="0" borderId="23"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3" xfId="0" applyFont="1" applyBorder="1" applyAlignment="1">
      <alignment horizontal="center"/>
    </xf>
    <xf numFmtId="166" fontId="5" fillId="7" borderId="24" xfId="0" applyNumberFormat="1" applyFont="1" applyFill="1" applyBorder="1" applyAlignment="1">
      <alignment vertical="center"/>
    </xf>
    <xf numFmtId="0" fontId="5" fillId="7" borderId="25" xfId="0" applyFont="1" applyFill="1" applyBorder="1" applyAlignment="1">
      <alignment horizontal="center" vertical="center"/>
    </xf>
    <xf numFmtId="0" fontId="5" fillId="7" borderId="22" xfId="0" applyFont="1" applyFill="1" applyBorder="1" applyAlignment="1">
      <alignment horizontal="center" vertical="center"/>
    </xf>
    <xf numFmtId="165" fontId="22" fillId="5" borderId="21" xfId="0" applyNumberFormat="1" applyFont="1" applyFill="1" applyBorder="1" applyAlignment="1" applyProtection="1">
      <alignment vertical="center"/>
      <protection hidden="1"/>
    </xf>
    <xf numFmtId="0" fontId="0" fillId="5" borderId="21" xfId="0" applyFill="1" applyBorder="1" applyAlignment="1" applyProtection="1">
      <alignment vertical="center"/>
      <protection hidden="1"/>
    </xf>
    <xf numFmtId="165" fontId="7" fillId="5" borderId="21" xfId="0" applyNumberFormat="1" applyFont="1" applyFill="1" applyBorder="1" applyAlignment="1" applyProtection="1">
      <alignment vertical="center"/>
      <protection hidden="1"/>
    </xf>
    <xf numFmtId="167" fontId="19" fillId="6" borderId="19" xfId="3" applyNumberFormat="1" applyFont="1" applyFill="1" applyBorder="1" applyAlignment="1" applyProtection="1">
      <alignment horizontal="center" vertical="center"/>
      <protection locked="0"/>
    </xf>
    <xf numFmtId="40" fontId="5" fillId="0" borderId="0" xfId="0" applyNumberFormat="1" applyFont="1" applyAlignment="1">
      <alignment horizontal="center"/>
    </xf>
    <xf numFmtId="166" fontId="15" fillId="7" borderId="22" xfId="0" applyNumberFormat="1" applyFont="1" applyFill="1" applyBorder="1" applyAlignment="1">
      <alignment vertical="center"/>
    </xf>
    <xf numFmtId="166" fontId="5" fillId="0" borderId="0" xfId="0" applyNumberFormat="1" applyFont="1"/>
    <xf numFmtId="168" fontId="5" fillId="0" borderId="0" xfId="0" applyNumberFormat="1" applyFont="1"/>
    <xf numFmtId="165" fontId="7" fillId="5" borderId="26" xfId="0" applyNumberFormat="1" applyFont="1" applyFill="1" applyBorder="1" applyAlignment="1" applyProtection="1">
      <alignment vertical="center"/>
      <protection hidden="1"/>
    </xf>
    <xf numFmtId="165" fontId="7" fillId="5" borderId="27" xfId="0" applyNumberFormat="1" applyFont="1" applyFill="1" applyBorder="1" applyAlignment="1" applyProtection="1">
      <alignment vertical="center"/>
      <protection hidden="1"/>
    </xf>
    <xf numFmtId="0" fontId="16" fillId="8" borderId="28" xfId="0" applyFont="1" applyFill="1" applyBorder="1"/>
    <xf numFmtId="0" fontId="16" fillId="8" borderId="29" xfId="0" applyFont="1" applyFill="1" applyBorder="1" applyAlignment="1">
      <alignment vertical="center"/>
    </xf>
    <xf numFmtId="0" fontId="31" fillId="8" borderId="29" xfId="0" applyFont="1" applyFill="1" applyBorder="1" applyAlignment="1">
      <alignment horizontal="left" vertical="center"/>
    </xf>
    <xf numFmtId="0" fontId="16" fillId="8" borderId="29" xfId="0" applyFont="1" applyFill="1" applyBorder="1" applyAlignment="1">
      <alignment horizontal="centerContinuous" vertical="center"/>
    </xf>
    <xf numFmtId="0" fontId="16" fillId="8" borderId="30" xfId="0" applyFont="1" applyFill="1" applyBorder="1"/>
    <xf numFmtId="0" fontId="16" fillId="8" borderId="10" xfId="0" applyFont="1" applyFill="1" applyBorder="1"/>
    <xf numFmtId="0" fontId="25" fillId="8" borderId="0" xfId="0" applyFont="1" applyFill="1" applyAlignment="1">
      <alignment vertical="center"/>
    </xf>
    <xf numFmtId="0" fontId="16" fillId="8" borderId="0" xfId="0" applyFont="1" applyFill="1" applyAlignment="1">
      <alignment vertical="center"/>
    </xf>
    <xf numFmtId="0" fontId="16" fillId="8" borderId="0" xfId="0" applyFont="1" applyFill="1"/>
    <xf numFmtId="0" fontId="31" fillId="8" borderId="0" xfId="0" applyFont="1" applyFill="1" applyAlignment="1">
      <alignment horizontal="left" vertical="center"/>
    </xf>
    <xf numFmtId="0" fontId="16" fillId="8" borderId="0" xfId="0" applyFont="1" applyFill="1" applyAlignment="1">
      <alignment horizontal="centerContinuous" vertical="center"/>
    </xf>
    <xf numFmtId="0" fontId="16" fillId="8" borderId="13" xfId="0" applyFont="1" applyFill="1" applyBorder="1"/>
    <xf numFmtId="0" fontId="28" fillId="8" borderId="13" xfId="0" applyFont="1" applyFill="1" applyBorder="1" applyAlignment="1">
      <alignment vertical="top"/>
    </xf>
    <xf numFmtId="0" fontId="25" fillId="8" borderId="0" xfId="0" applyFont="1" applyFill="1"/>
    <xf numFmtId="0" fontId="16" fillId="8" borderId="31" xfId="0" applyFont="1" applyFill="1" applyBorder="1"/>
    <xf numFmtId="0" fontId="30" fillId="8" borderId="32" xfId="0" applyFont="1" applyFill="1" applyBorder="1" applyAlignment="1">
      <alignment vertical="center"/>
    </xf>
    <xf numFmtId="0" fontId="16" fillId="8" borderId="32" xfId="0" applyFont="1" applyFill="1" applyBorder="1"/>
    <xf numFmtId="0" fontId="16" fillId="8" borderId="32" xfId="0" applyFont="1" applyFill="1" applyBorder="1" applyAlignment="1">
      <alignment vertical="center"/>
    </xf>
    <xf numFmtId="0" fontId="16" fillId="8" borderId="33" xfId="0" applyFont="1" applyFill="1" applyBorder="1"/>
    <xf numFmtId="0" fontId="34" fillId="0" borderId="29" xfId="0" applyFont="1" applyBorder="1" applyAlignment="1">
      <alignment horizontal="left"/>
    </xf>
    <xf numFmtId="0" fontId="16" fillId="0" borderId="0" xfId="0" applyFont="1"/>
    <xf numFmtId="0" fontId="16" fillId="0" borderId="0" xfId="0" applyFont="1" applyAlignment="1">
      <alignment vertical="center"/>
    </xf>
    <xf numFmtId="165" fontId="5" fillId="0" borderId="0" xfId="0" applyNumberFormat="1" applyFont="1"/>
    <xf numFmtId="172" fontId="5" fillId="0" borderId="0" xfId="0" applyNumberFormat="1" applyFont="1"/>
    <xf numFmtId="0" fontId="16" fillId="0" borderId="0" xfId="0" applyFont="1" applyAlignment="1">
      <alignment horizontal="left" vertical="center" indent="1"/>
    </xf>
    <xf numFmtId="173" fontId="35" fillId="0" borderId="0" xfId="0" applyNumberFormat="1" applyFont="1" applyAlignment="1">
      <alignment vertical="center"/>
    </xf>
    <xf numFmtId="0" fontId="36" fillId="0" borderId="0" xfId="0" applyFont="1"/>
    <xf numFmtId="0" fontId="14" fillId="0" borderId="0" xfId="0" applyFont="1" applyAlignment="1">
      <alignment vertical="center"/>
    </xf>
    <xf numFmtId="0" fontId="37" fillId="0" borderId="0" xfId="0" applyFont="1"/>
    <xf numFmtId="0" fontId="0" fillId="9" borderId="0" xfId="0" applyFill="1"/>
    <xf numFmtId="0" fontId="3" fillId="9" borderId="0" xfId="0" applyFont="1" applyFill="1"/>
    <xf numFmtId="176" fontId="4" fillId="0" borderId="4" xfId="0" applyNumberFormat="1" applyFont="1" applyBorder="1" applyAlignment="1">
      <alignment horizontal="right" vertical="center"/>
    </xf>
    <xf numFmtId="0" fontId="10" fillId="0" borderId="34" xfId="0" applyFont="1" applyBorder="1" applyAlignment="1">
      <alignment horizontal="left" vertical="center" indent="1"/>
    </xf>
    <xf numFmtId="0" fontId="0" fillId="0" borderId="34" xfId="0" applyBorder="1" applyAlignment="1">
      <alignment vertical="center"/>
    </xf>
    <xf numFmtId="0" fontId="11" fillId="0" borderId="34" xfId="0" applyFont="1" applyBorder="1" applyAlignment="1" applyProtection="1">
      <alignment vertical="center"/>
      <protection locked="0"/>
    </xf>
    <xf numFmtId="0" fontId="0" fillId="0" borderId="34" xfId="0" applyBorder="1"/>
    <xf numFmtId="0" fontId="0" fillId="0" borderId="35" xfId="0" applyBorder="1"/>
    <xf numFmtId="0" fontId="16" fillId="9" borderId="5" xfId="0" applyFont="1" applyFill="1" applyBorder="1"/>
    <xf numFmtId="0" fontId="16" fillId="9" borderId="6" xfId="0" applyFont="1" applyFill="1" applyBorder="1"/>
    <xf numFmtId="0" fontId="17" fillId="9" borderId="6" xfId="0" applyFont="1" applyFill="1" applyBorder="1" applyAlignment="1">
      <alignment horizontal="left" vertical="center" indent="6"/>
    </xf>
    <xf numFmtId="0" fontId="16" fillId="9" borderId="9" xfId="0" applyFont="1" applyFill="1" applyBorder="1"/>
    <xf numFmtId="0" fontId="18" fillId="9" borderId="0" xfId="0" applyFont="1" applyFill="1" applyAlignment="1">
      <alignment vertical="center"/>
    </xf>
    <xf numFmtId="0" fontId="16" fillId="9" borderId="0" xfId="0" applyFont="1" applyFill="1" applyAlignment="1">
      <alignment vertical="center"/>
    </xf>
    <xf numFmtId="0" fontId="0" fillId="9" borderId="6" xfId="0" applyFill="1" applyBorder="1"/>
    <xf numFmtId="0" fontId="16" fillId="9" borderId="10" xfId="0" applyFont="1" applyFill="1" applyBorder="1" applyAlignment="1">
      <alignment vertical="center"/>
    </xf>
    <xf numFmtId="0" fontId="20" fillId="9" borderId="0" xfId="0" applyFont="1" applyFill="1" applyAlignment="1">
      <alignment vertical="center"/>
    </xf>
    <xf numFmtId="0" fontId="16" fillId="9" borderId="13" xfId="0" applyFont="1" applyFill="1" applyBorder="1" applyAlignment="1">
      <alignment vertical="center"/>
    </xf>
    <xf numFmtId="0" fontId="14" fillId="9" borderId="0" xfId="0" applyFont="1" applyFill="1" applyAlignment="1">
      <alignment vertical="center"/>
    </xf>
    <xf numFmtId="0" fontId="3" fillId="9" borderId="0" xfId="0" applyFont="1" applyFill="1" applyAlignment="1">
      <alignment vertical="center"/>
    </xf>
    <xf numFmtId="0" fontId="5" fillId="9" borderId="0" xfId="0" applyFont="1" applyFill="1" applyAlignment="1">
      <alignment horizontal="centerContinuous" vertical="center"/>
    </xf>
    <xf numFmtId="0" fontId="16" fillId="9" borderId="0" xfId="0" applyFont="1" applyFill="1" applyAlignment="1">
      <alignment horizontal="centerContinuous" vertical="center"/>
    </xf>
    <xf numFmtId="0" fontId="21" fillId="9" borderId="0" xfId="0" applyFont="1" applyFill="1" applyAlignment="1">
      <alignment horizontal="right" vertical="center"/>
    </xf>
    <xf numFmtId="0" fontId="16" fillId="9" borderId="10" xfId="0" applyFont="1" applyFill="1" applyBorder="1"/>
    <xf numFmtId="0" fontId="16" fillId="9" borderId="0" xfId="0" applyFont="1" applyFill="1" applyAlignment="1">
      <alignment horizontal="left" vertical="center" indent="1"/>
    </xf>
    <xf numFmtId="165" fontId="22" fillId="0" borderId="36" xfId="0" applyNumberFormat="1" applyFont="1" applyBorder="1" applyAlignment="1" applyProtection="1">
      <alignment vertical="center"/>
      <protection locked="0"/>
    </xf>
    <xf numFmtId="0" fontId="16" fillId="9" borderId="13" xfId="0" applyFont="1" applyFill="1" applyBorder="1"/>
    <xf numFmtId="9" fontId="22" fillId="0" borderId="36" xfId="6" applyFont="1" applyBorder="1" applyAlignment="1" applyProtection="1">
      <alignment horizontal="center" vertical="center" wrapText="1"/>
      <protection locked="0"/>
    </xf>
    <xf numFmtId="0" fontId="16" fillId="9" borderId="0" xfId="0" applyFont="1" applyFill="1" applyAlignment="1">
      <alignment horizontal="center" vertical="center"/>
    </xf>
    <xf numFmtId="0" fontId="16" fillId="9" borderId="0" xfId="0" applyFont="1" applyFill="1"/>
    <xf numFmtId="10" fontId="22" fillId="0" borderId="36" xfId="3" applyNumberFormat="1" applyFont="1" applyFill="1" applyBorder="1" applyAlignment="1" applyProtection="1">
      <alignment horizontal="center" vertical="center"/>
      <protection locked="0"/>
    </xf>
    <xf numFmtId="38" fontId="22" fillId="0" borderId="36" xfId="3" applyNumberFormat="1" applyFont="1" applyFill="1" applyBorder="1" applyAlignment="1" applyProtection="1">
      <alignment horizontal="center" vertical="center"/>
      <protection locked="0"/>
    </xf>
    <xf numFmtId="38" fontId="16" fillId="9" borderId="0" xfId="0" applyNumberFormat="1" applyFont="1" applyFill="1" applyAlignment="1">
      <alignment vertical="center"/>
    </xf>
    <xf numFmtId="0" fontId="16" fillId="9" borderId="0" xfId="0" applyFont="1" applyFill="1" applyAlignment="1">
      <alignment horizontal="center" vertical="center"/>
    </xf>
    <xf numFmtId="0" fontId="40" fillId="0" borderId="36" xfId="5" applyBorder="1" applyProtection="1">
      <protection locked="0"/>
    </xf>
    <xf numFmtId="165" fontId="22" fillId="0" borderId="37" xfId="0" applyNumberFormat="1" applyFont="1" applyBorder="1" applyAlignment="1" applyProtection="1">
      <alignment vertical="center"/>
      <protection locked="0"/>
    </xf>
    <xf numFmtId="0" fontId="0" fillId="0" borderId="37" xfId="0" applyBorder="1" applyAlignment="1" applyProtection="1">
      <alignment vertical="center"/>
      <protection locked="0"/>
    </xf>
    <xf numFmtId="166" fontId="22" fillId="0" borderId="36" xfId="3" applyNumberFormat="1" applyFont="1" applyFill="1" applyBorder="1" applyAlignment="1" applyProtection="1">
      <alignment horizontal="right" vertical="center"/>
      <protection locked="0"/>
    </xf>
    <xf numFmtId="0" fontId="23" fillId="9" borderId="0" xfId="0" applyFont="1" applyFill="1" applyAlignment="1">
      <alignment horizontal="left" vertical="center" indent="1"/>
    </xf>
    <xf numFmtId="165" fontId="22" fillId="0" borderId="36" xfId="0" applyNumberFormat="1" applyFont="1" applyBorder="1" applyAlignment="1" applyProtection="1">
      <alignment horizontal="left" vertical="center" indent="1"/>
      <protection locked="0"/>
    </xf>
    <xf numFmtId="0" fontId="0" fillId="0" borderId="36" xfId="0" applyBorder="1" applyAlignment="1" applyProtection="1">
      <alignment vertical="center"/>
      <protection locked="0"/>
    </xf>
    <xf numFmtId="0" fontId="16" fillId="8" borderId="36" xfId="0" applyFont="1" applyFill="1" applyBorder="1" applyAlignment="1" applyProtection="1">
      <alignment horizontal="left" vertical="center" indent="1"/>
      <protection locked="0"/>
    </xf>
    <xf numFmtId="0" fontId="18" fillId="9" borderId="0" xfId="0" applyFont="1" applyFill="1" applyAlignment="1">
      <alignment horizontal="center" vertical="center"/>
    </xf>
    <xf numFmtId="165" fontId="22" fillId="8" borderId="36" xfId="0" applyNumberFormat="1" applyFont="1" applyFill="1" applyBorder="1" applyAlignment="1" applyProtection="1">
      <alignment vertical="center"/>
      <protection locked="0"/>
    </xf>
    <xf numFmtId="9" fontId="25" fillId="9" borderId="0" xfId="0" quotePrefix="1" applyNumberFormat="1" applyFont="1" applyFill="1" applyAlignment="1">
      <alignment horizontal="right" vertical="center"/>
    </xf>
    <xf numFmtId="0" fontId="26" fillId="9" borderId="0" xfId="0" applyFont="1" applyFill="1" applyAlignment="1">
      <alignment horizontal="left" vertical="center" indent="1"/>
    </xf>
    <xf numFmtId="0" fontId="27" fillId="9" borderId="0" xfId="0" applyFont="1" applyFill="1" applyAlignment="1">
      <alignment vertical="center"/>
    </xf>
    <xf numFmtId="0" fontId="28" fillId="9" borderId="13" xfId="0" applyFont="1" applyFill="1" applyBorder="1" applyAlignment="1">
      <alignment vertical="top"/>
    </xf>
    <xf numFmtId="0" fontId="30" fillId="9" borderId="0" xfId="0" applyFont="1" applyFill="1" applyAlignment="1">
      <alignment horizontal="left" vertical="center" indent="1"/>
    </xf>
    <xf numFmtId="0" fontId="31" fillId="9" borderId="0" xfId="0" applyFont="1" applyFill="1" applyAlignment="1">
      <alignment horizontal="left" vertical="center"/>
    </xf>
    <xf numFmtId="164" fontId="7" fillId="11" borderId="38" xfId="0" applyNumberFormat="1" applyFont="1" applyFill="1"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42" fillId="9" borderId="0" xfId="0" applyFont="1" applyFill="1" applyAlignment="1">
      <alignment vertical="center"/>
    </xf>
    <xf numFmtId="0" fontId="21" fillId="9" borderId="0" xfId="0" applyFont="1" applyFill="1" applyAlignment="1">
      <alignment vertical="center"/>
    </xf>
    <xf numFmtId="10" fontId="33" fillId="9" borderId="0" xfId="3" applyNumberFormat="1" applyFont="1" applyFill="1" applyBorder="1" applyAlignment="1">
      <alignment horizontal="center"/>
    </xf>
    <xf numFmtId="164" fontId="7" fillId="12" borderId="38" xfId="0" applyNumberFormat="1" applyFont="1" applyFill="1" applyBorder="1" applyAlignment="1" applyProtection="1">
      <alignment horizontal="center" vertical="center"/>
      <protection hidden="1"/>
    </xf>
    <xf numFmtId="0" fontId="0" fillId="12" borderId="39" xfId="0" applyFill="1" applyBorder="1" applyAlignment="1" applyProtection="1">
      <alignment horizontal="center" vertical="center"/>
      <protection hidden="1"/>
    </xf>
    <xf numFmtId="0" fontId="32" fillId="8" borderId="0" xfId="0" applyFont="1" applyFill="1"/>
    <xf numFmtId="0" fontId="43" fillId="9" borderId="0" xfId="0" applyFont="1" applyFill="1" applyAlignment="1">
      <alignment horizontal="left" wrapText="1"/>
    </xf>
    <xf numFmtId="0" fontId="43" fillId="9" borderId="13" xfId="0" applyFont="1" applyFill="1" applyBorder="1" applyAlignment="1">
      <alignment horizontal="left" wrapText="1"/>
    </xf>
    <xf numFmtId="0" fontId="43" fillId="9" borderId="0" xfId="0" applyFont="1" applyFill="1" applyAlignment="1">
      <alignment horizontal="left" vertical="center"/>
    </xf>
    <xf numFmtId="0" fontId="16" fillId="9" borderId="28" xfId="0" applyFont="1" applyFill="1" applyBorder="1"/>
    <xf numFmtId="0" fontId="16" fillId="9" borderId="29" xfId="0" applyFont="1" applyFill="1" applyBorder="1" applyAlignment="1">
      <alignment horizontal="left" vertical="center" indent="1"/>
    </xf>
    <xf numFmtId="0" fontId="16" fillId="9" borderId="29" xfId="0" applyFont="1" applyFill="1" applyBorder="1" applyAlignment="1">
      <alignment vertical="center"/>
    </xf>
    <xf numFmtId="0" fontId="16" fillId="9" borderId="29" xfId="0" applyFont="1" applyFill="1" applyBorder="1"/>
    <xf numFmtId="0" fontId="16" fillId="9" borderId="30" xfId="0" applyFont="1" applyFill="1" applyBorder="1"/>
    <xf numFmtId="0" fontId="18" fillId="9" borderId="0" xfId="0" applyFont="1" applyFill="1" applyAlignment="1">
      <alignment horizontal="left" vertical="center" indent="1"/>
    </xf>
    <xf numFmtId="165" fontId="44" fillId="12" borderId="0" xfId="0" applyNumberFormat="1" applyFont="1" applyFill="1" applyAlignment="1" applyProtection="1">
      <alignment horizontal="center" vertical="center"/>
      <protection hidden="1"/>
    </xf>
    <xf numFmtId="0" fontId="45" fillId="9" borderId="0" xfId="0" applyFont="1" applyFill="1" applyAlignment="1">
      <alignment horizontal="left" vertical="center" indent="1"/>
    </xf>
    <xf numFmtId="0" fontId="16" fillId="9" borderId="31" xfId="0" applyFont="1" applyFill="1" applyBorder="1"/>
    <xf numFmtId="0" fontId="16" fillId="9" borderId="32" xfId="0" applyFont="1" applyFill="1" applyBorder="1" applyAlignment="1">
      <alignment vertical="center"/>
    </xf>
    <xf numFmtId="0" fontId="16" fillId="9" borderId="32" xfId="0" applyFont="1" applyFill="1" applyBorder="1"/>
    <xf numFmtId="0" fontId="16" fillId="9" borderId="33" xfId="0" applyFont="1" applyFill="1" applyBorder="1"/>
    <xf numFmtId="0" fontId="36" fillId="0" borderId="0" xfId="0" applyFont="1" applyAlignment="1">
      <alignment horizontal="right"/>
    </xf>
    <xf numFmtId="0" fontId="36" fillId="0" borderId="40" xfId="0" applyFont="1" applyBorder="1"/>
    <xf numFmtId="0" fontId="16" fillId="0" borderId="40" xfId="0" applyFont="1" applyBorder="1"/>
    <xf numFmtId="0" fontId="5" fillId="0" borderId="0" xfId="0" applyFont="1" applyAlignment="1">
      <alignment vertical="top"/>
    </xf>
    <xf numFmtId="0" fontId="15" fillId="0" borderId="0" xfId="0" applyFont="1" applyAlignment="1">
      <alignment vertical="top"/>
    </xf>
    <xf numFmtId="0" fontId="14" fillId="0" borderId="0" xfId="0" applyFont="1"/>
    <xf numFmtId="0" fontId="5" fillId="0" borderId="0" xfId="0" applyFont="1" applyAlignment="1">
      <alignment horizontal="left" indent="1"/>
    </xf>
    <xf numFmtId="177" fontId="16" fillId="0" borderId="0" xfId="0" applyNumberFormat="1" applyFont="1" applyAlignment="1">
      <alignment horizontal="center"/>
    </xf>
    <xf numFmtId="177" fontId="5" fillId="0" borderId="0" xfId="0" applyNumberFormat="1" applyFont="1" applyAlignment="1">
      <alignment horizontal="center"/>
    </xf>
    <xf numFmtId="177" fontId="5" fillId="0" borderId="23" xfId="0" applyNumberFormat="1" applyFont="1" applyBorder="1" applyAlignment="1">
      <alignment horizontal="left" indent="1"/>
    </xf>
    <xf numFmtId="166" fontId="5" fillId="0" borderId="23" xfId="0" applyNumberFormat="1" applyFont="1" applyBorder="1"/>
    <xf numFmtId="0" fontId="5" fillId="0" borderId="0" xfId="0" applyFont="1" applyAlignment="1">
      <alignment horizontal="left"/>
    </xf>
    <xf numFmtId="165" fontId="5" fillId="0" borderId="0" xfId="7" applyNumberFormat="1" applyFont="1" applyFill="1"/>
    <xf numFmtId="166" fontId="16" fillId="0" borderId="0" xfId="0" applyNumberFormat="1" applyFont="1"/>
    <xf numFmtId="166" fontId="5" fillId="0" borderId="0" xfId="0" applyNumberFormat="1" applyFont="1" applyAlignment="1">
      <alignment horizontal="center"/>
    </xf>
    <xf numFmtId="169" fontId="5" fillId="0" borderId="0" xfId="0" applyNumberFormat="1" applyFont="1"/>
    <xf numFmtId="177" fontId="16" fillId="10" borderId="0" xfId="0" applyNumberFormat="1" applyFont="1" applyFill="1" applyAlignment="1">
      <alignment horizontal="center"/>
    </xf>
    <xf numFmtId="0" fontId="3" fillId="0" borderId="0" xfId="8" applyProtection="1">
      <protection hidden="1"/>
    </xf>
    <xf numFmtId="0" fontId="9" fillId="0" borderId="0" xfId="9" applyFont="1" applyAlignment="1" applyProtection="1">
      <alignment horizontal="right" vertical="center"/>
      <protection hidden="1"/>
    </xf>
    <xf numFmtId="0" fontId="9" fillId="0" borderId="0" xfId="0" applyFont="1" applyAlignment="1">
      <alignment horizontal="left" vertical="center"/>
    </xf>
    <xf numFmtId="0" fontId="40" fillId="0" borderId="41" xfId="9" applyBorder="1" applyAlignment="1" applyProtection="1">
      <alignment vertical="center"/>
      <protection hidden="1"/>
    </xf>
    <xf numFmtId="0" fontId="41" fillId="0" borderId="42" xfId="9" applyFont="1" applyBorder="1" applyAlignment="1" applyProtection="1">
      <alignment horizontal="right" vertical="center" indent="1"/>
      <protection hidden="1"/>
    </xf>
    <xf numFmtId="178" fontId="40" fillId="13" borderId="42" xfId="9" applyNumberFormat="1" applyFill="1" applyBorder="1" applyAlignment="1" applyProtection="1">
      <alignment horizontal="left" vertical="center" indent="1"/>
      <protection locked="0"/>
    </xf>
    <xf numFmtId="0" fontId="40" fillId="0" borderId="42" xfId="9" applyBorder="1" applyAlignment="1" applyProtection="1">
      <alignment vertical="center"/>
      <protection hidden="1"/>
    </xf>
    <xf numFmtId="0" fontId="40" fillId="0" borderId="43" xfId="9" applyBorder="1" applyAlignment="1" applyProtection="1">
      <alignment vertical="center"/>
      <protection hidden="1"/>
    </xf>
    <xf numFmtId="0" fontId="40" fillId="0" borderId="0" xfId="9" applyAlignment="1" applyProtection="1">
      <alignment vertical="center"/>
      <protection hidden="1"/>
    </xf>
    <xf numFmtId="0" fontId="13" fillId="4" borderId="0" xfId="0" applyFont="1" applyFill="1" applyAlignment="1">
      <alignment horizontal="center" vertical="center"/>
    </xf>
    <xf numFmtId="0" fontId="13" fillId="4" borderId="0" xfId="0" applyFont="1" applyFill="1" applyAlignment="1">
      <alignment vertical="center"/>
    </xf>
    <xf numFmtId="0" fontId="40" fillId="0" borderId="44" xfId="9" applyBorder="1" applyAlignment="1" applyProtection="1">
      <alignment vertical="center"/>
      <protection hidden="1"/>
    </xf>
    <xf numFmtId="0" fontId="40" fillId="0" borderId="45" xfId="9" applyBorder="1" applyAlignment="1" applyProtection="1">
      <alignment vertical="center"/>
      <protection hidden="1"/>
    </xf>
    <xf numFmtId="0" fontId="3" fillId="0" borderId="44" xfId="8" applyBorder="1"/>
    <xf numFmtId="0" fontId="3" fillId="0" borderId="0" xfId="8"/>
    <xf numFmtId="0" fontId="3" fillId="0" borderId="45" xfId="8" applyBorder="1"/>
    <xf numFmtId="0" fontId="41" fillId="0" borderId="0" xfId="9" applyFont="1" applyAlignment="1" applyProtection="1">
      <alignment horizontal="right" vertical="center" indent="1"/>
      <protection hidden="1"/>
    </xf>
    <xf numFmtId="0" fontId="40" fillId="13" borderId="0" xfId="9" applyFill="1" applyAlignment="1" applyProtection="1">
      <alignment horizontal="center" vertical="center"/>
      <protection locked="0"/>
    </xf>
    <xf numFmtId="0" fontId="3" fillId="13" borderId="0" xfId="8" applyFill="1" applyAlignment="1" applyProtection="1">
      <alignment horizontal="left"/>
      <protection locked="0"/>
    </xf>
    <xf numFmtId="0" fontId="40" fillId="0" borderId="0" xfId="9" applyAlignment="1" applyProtection="1">
      <alignment horizontal="right" vertical="center" indent="1"/>
      <protection hidden="1"/>
    </xf>
    <xf numFmtId="0" fontId="3" fillId="0" borderId="0" xfId="8" applyProtection="1">
      <protection locked="0"/>
    </xf>
    <xf numFmtId="0" fontId="3" fillId="0" borderId="46" xfId="8" applyBorder="1"/>
    <xf numFmtId="0" fontId="3" fillId="0" borderId="23" xfId="8" applyBorder="1"/>
    <xf numFmtId="0" fontId="3" fillId="0" borderId="47" xfId="8" applyBorder="1"/>
    <xf numFmtId="0" fontId="40" fillId="0" borderId="48" xfId="9" applyBorder="1" applyAlignment="1" applyProtection="1">
      <alignment vertical="center"/>
      <protection hidden="1"/>
    </xf>
    <xf numFmtId="0" fontId="41" fillId="0" borderId="0" xfId="9" applyFont="1" applyAlignment="1" applyProtection="1">
      <alignment vertical="center"/>
      <protection hidden="1"/>
    </xf>
    <xf numFmtId="0" fontId="40" fillId="0" borderId="49" xfId="9" applyBorder="1" applyAlignment="1" applyProtection="1">
      <alignment vertical="center"/>
      <protection hidden="1"/>
    </xf>
    <xf numFmtId="0" fontId="41" fillId="0" borderId="48" xfId="9" applyFont="1" applyBorder="1" applyAlignment="1" applyProtection="1">
      <alignment vertical="center"/>
      <protection hidden="1"/>
    </xf>
    <xf numFmtId="0" fontId="47" fillId="4" borderId="0" xfId="0" applyFont="1" applyFill="1" applyAlignment="1">
      <alignment vertical="center"/>
    </xf>
    <xf numFmtId="0" fontId="48" fillId="4" borderId="0" xfId="0" applyFont="1" applyFill="1" applyAlignment="1">
      <alignment horizontal="center" vertical="center"/>
    </xf>
    <xf numFmtId="0" fontId="47" fillId="4" borderId="0" xfId="0" applyFont="1" applyFill="1" applyAlignment="1">
      <alignment horizontal="left" vertical="center"/>
    </xf>
    <xf numFmtId="0" fontId="48" fillId="4" borderId="0" xfId="0" applyFont="1" applyFill="1" applyAlignment="1">
      <alignment vertical="center"/>
    </xf>
    <xf numFmtId="0" fontId="47" fillId="4" borderId="0" xfId="0" applyFont="1" applyFill="1" applyAlignment="1">
      <alignment horizontal="center" vertical="center"/>
    </xf>
    <xf numFmtId="0" fontId="49" fillId="4" borderId="0" xfId="0" applyFont="1" applyFill="1" applyAlignment="1">
      <alignment vertical="center"/>
    </xf>
    <xf numFmtId="0" fontId="40" fillId="0" borderId="50" xfId="9" applyBorder="1" applyAlignment="1" applyProtection="1">
      <alignment horizontal="center" vertical="center"/>
      <protection hidden="1"/>
    </xf>
    <xf numFmtId="172" fontId="40" fillId="13" borderId="51" xfId="9" applyNumberFormat="1" applyFill="1" applyBorder="1" applyAlignment="1" applyProtection="1">
      <alignment vertical="center"/>
      <protection locked="0"/>
    </xf>
    <xf numFmtId="172" fontId="40" fillId="13" borderId="52" xfId="9" applyNumberFormat="1" applyFill="1" applyBorder="1" applyAlignment="1" applyProtection="1">
      <alignment horizontal="center" vertical="center"/>
      <protection locked="0"/>
    </xf>
    <xf numFmtId="172" fontId="40" fillId="13" borderId="53" xfId="9" applyNumberFormat="1" applyFill="1" applyBorder="1" applyAlignment="1" applyProtection="1">
      <alignment horizontal="center" vertical="center"/>
      <protection locked="0"/>
    </xf>
    <xf numFmtId="0" fontId="40" fillId="0" borderId="54" xfId="9" applyBorder="1" applyAlignment="1" applyProtection="1">
      <alignment horizontal="center" vertical="center"/>
      <protection hidden="1"/>
    </xf>
    <xf numFmtId="0" fontId="40" fillId="0" borderId="0" xfId="9" applyAlignment="1" applyProtection="1">
      <alignment horizontal="center" vertical="center"/>
      <protection hidden="1"/>
    </xf>
    <xf numFmtId="172" fontId="40" fillId="13" borderId="55" xfId="9" applyNumberFormat="1" applyFill="1" applyBorder="1" applyAlignment="1" applyProtection="1">
      <alignment horizontal="center" vertical="center"/>
      <protection locked="0"/>
    </xf>
    <xf numFmtId="0" fontId="40" fillId="13" borderId="52" xfId="9" applyFill="1" applyBorder="1" applyAlignment="1" applyProtection="1">
      <alignment horizontal="center" vertical="center"/>
      <protection locked="0"/>
    </xf>
    <xf numFmtId="0" fontId="40" fillId="13" borderId="56" xfId="9" applyFill="1" applyBorder="1" applyAlignment="1" applyProtection="1">
      <alignment horizontal="center" vertical="center"/>
      <protection locked="0"/>
    </xf>
    <xf numFmtId="0" fontId="40" fillId="13" borderId="53" xfId="9" applyFill="1" applyBorder="1" applyAlignment="1" applyProtection="1">
      <alignment horizontal="center" vertical="center"/>
      <protection locked="0"/>
    </xf>
    <xf numFmtId="172" fontId="40" fillId="13" borderId="57" xfId="9" applyNumberFormat="1" applyFill="1" applyBorder="1" applyAlignment="1" applyProtection="1">
      <alignment vertical="center"/>
      <protection locked="0"/>
    </xf>
    <xf numFmtId="172" fontId="40" fillId="13" borderId="58" xfId="9" applyNumberFormat="1" applyFill="1" applyBorder="1" applyAlignment="1" applyProtection="1">
      <alignment vertical="center"/>
      <protection locked="0"/>
    </xf>
    <xf numFmtId="172" fontId="40" fillId="13" borderId="59" xfId="9" applyNumberFormat="1" applyFill="1" applyBorder="1" applyAlignment="1" applyProtection="1">
      <alignment horizontal="center" vertical="center"/>
      <protection locked="0"/>
    </xf>
    <xf numFmtId="172" fontId="40" fillId="13" borderId="60" xfId="9" applyNumberFormat="1" applyFill="1" applyBorder="1" applyAlignment="1" applyProtection="1">
      <alignment horizontal="center" vertical="center"/>
      <protection locked="0"/>
    </xf>
    <xf numFmtId="172" fontId="40" fillId="13" borderId="57" xfId="9" applyNumberFormat="1" applyFill="1" applyBorder="1" applyAlignment="1" applyProtection="1">
      <alignment horizontal="center" vertical="center"/>
      <protection locked="0"/>
    </xf>
    <xf numFmtId="0" fontId="40" fillId="13" borderId="59" xfId="9" applyFill="1" applyBorder="1" applyAlignment="1" applyProtection="1">
      <alignment horizontal="center" vertical="center"/>
      <protection locked="0"/>
    </xf>
    <xf numFmtId="0" fontId="40" fillId="13" borderId="61" xfId="9" applyFill="1" applyBorder="1" applyAlignment="1" applyProtection="1">
      <alignment horizontal="center" vertical="center"/>
      <protection locked="0"/>
    </xf>
    <xf numFmtId="0" fontId="40" fillId="13" borderId="60" xfId="9" applyFill="1" applyBorder="1" applyAlignment="1" applyProtection="1">
      <alignment horizontal="center" vertical="center"/>
      <protection locked="0"/>
    </xf>
    <xf numFmtId="172" fontId="40" fillId="13" borderId="62" xfId="9" applyNumberFormat="1" applyFill="1" applyBorder="1" applyAlignment="1" applyProtection="1">
      <alignment vertical="center"/>
      <protection locked="0"/>
    </xf>
    <xf numFmtId="172" fontId="40" fillId="13" borderId="63" xfId="9" applyNumberFormat="1" applyFill="1" applyBorder="1" applyAlignment="1" applyProtection="1">
      <alignment vertical="center"/>
      <protection locked="0"/>
    </xf>
    <xf numFmtId="172" fontId="40" fillId="13" borderId="64" xfId="9" applyNumberFormat="1" applyFill="1" applyBorder="1" applyAlignment="1" applyProtection="1">
      <alignment horizontal="center" vertical="center"/>
      <protection locked="0"/>
    </xf>
    <xf numFmtId="172" fontId="40" fillId="13" borderId="65" xfId="9" applyNumberFormat="1" applyFill="1" applyBorder="1" applyAlignment="1" applyProtection="1">
      <alignment horizontal="center" vertical="center"/>
      <protection locked="0"/>
    </xf>
    <xf numFmtId="0" fontId="41" fillId="0" borderId="66" xfId="9" applyFont="1" applyBorder="1" applyAlignment="1" applyProtection="1">
      <alignment horizontal="left" vertical="center" indent="1"/>
      <protection hidden="1"/>
    </xf>
    <xf numFmtId="172" fontId="41" fillId="3" borderId="67" xfId="9" applyNumberFormat="1" applyFont="1" applyFill="1" applyBorder="1" applyAlignment="1" applyProtection="1">
      <alignment horizontal="right" vertical="center"/>
      <protection hidden="1"/>
    </xf>
    <xf numFmtId="172" fontId="41" fillId="3" borderId="68" xfId="9" applyNumberFormat="1" applyFont="1" applyFill="1" applyBorder="1" applyAlignment="1" applyProtection="1">
      <alignment horizontal="right" vertical="center"/>
      <protection hidden="1"/>
    </xf>
    <xf numFmtId="172" fontId="41" fillId="3" borderId="69" xfId="9" applyNumberFormat="1" applyFont="1" applyFill="1" applyBorder="1" applyAlignment="1" applyProtection="1">
      <alignment horizontal="center" vertical="center"/>
      <protection hidden="1"/>
    </xf>
    <xf numFmtId="172" fontId="41" fillId="3" borderId="70" xfId="9" applyNumberFormat="1" applyFont="1" applyFill="1" applyBorder="1" applyAlignment="1" applyProtection="1">
      <alignment horizontal="center" vertical="center"/>
      <protection hidden="1"/>
    </xf>
    <xf numFmtId="0" fontId="41" fillId="0" borderId="0" xfId="9" applyFont="1" applyAlignment="1" applyProtection="1">
      <alignment horizontal="left" vertical="center" indent="1"/>
      <protection hidden="1"/>
    </xf>
    <xf numFmtId="0" fontId="50" fillId="4" borderId="0" xfId="0" applyFont="1" applyFill="1" applyAlignment="1">
      <alignment horizontal="left" vertical="center"/>
    </xf>
    <xf numFmtId="172" fontId="40" fillId="13" borderId="71" xfId="9" applyNumberFormat="1" applyFill="1" applyBorder="1" applyAlignment="1" applyProtection="1">
      <alignment horizontal="center" vertical="center"/>
      <protection locked="0"/>
    </xf>
    <xf numFmtId="172" fontId="40" fillId="13" borderId="62" xfId="9" applyNumberFormat="1" applyFill="1" applyBorder="1" applyAlignment="1" applyProtection="1">
      <alignment horizontal="center" vertical="center"/>
      <protection locked="0"/>
    </xf>
    <xf numFmtId="0" fontId="40" fillId="13" borderId="64" xfId="9" applyFill="1" applyBorder="1" applyAlignment="1" applyProtection="1">
      <alignment horizontal="center" vertical="center"/>
      <protection locked="0"/>
    </xf>
    <xf numFmtId="0" fontId="40" fillId="13" borderId="72" xfId="9" applyFill="1" applyBorder="1" applyAlignment="1" applyProtection="1">
      <alignment horizontal="center" vertical="center"/>
      <protection locked="0"/>
    </xf>
    <xf numFmtId="0" fontId="40" fillId="13" borderId="65" xfId="9" applyFill="1" applyBorder="1" applyAlignment="1" applyProtection="1">
      <alignment horizontal="center" vertical="center"/>
      <protection locked="0"/>
    </xf>
    <xf numFmtId="0" fontId="41" fillId="0" borderId="54" xfId="9" applyFont="1" applyBorder="1" applyAlignment="1" applyProtection="1">
      <alignment horizontal="left" vertical="center" indent="1"/>
      <protection hidden="1"/>
    </xf>
    <xf numFmtId="10" fontId="40" fillId="0" borderId="42" xfId="3" applyNumberFormat="1" applyFont="1" applyFill="1" applyBorder="1" applyAlignment="1" applyProtection="1">
      <alignment vertical="center"/>
    </xf>
    <xf numFmtId="172" fontId="40" fillId="0" borderId="73" xfId="9" applyNumberFormat="1" applyBorder="1" applyAlignment="1">
      <alignment vertical="center"/>
    </xf>
    <xf numFmtId="0" fontId="41" fillId="0" borderId="0" xfId="9" applyFont="1" applyAlignment="1" applyProtection="1">
      <alignment horizontal="left" vertical="center"/>
      <protection hidden="1"/>
    </xf>
    <xf numFmtId="172" fontId="41" fillId="3" borderId="74" xfId="9" applyNumberFormat="1" applyFont="1" applyFill="1" applyBorder="1" applyAlignment="1" applyProtection="1">
      <alignment horizontal="right" vertical="center"/>
      <protection hidden="1"/>
    </xf>
    <xf numFmtId="172" fontId="41" fillId="3" borderId="75" xfId="9" applyNumberFormat="1" applyFont="1" applyFill="1" applyBorder="1" applyAlignment="1" applyProtection="1">
      <alignment horizontal="right" vertical="center"/>
      <protection hidden="1"/>
    </xf>
    <xf numFmtId="172" fontId="41" fillId="3" borderId="76" xfId="9" applyNumberFormat="1" applyFont="1" applyFill="1" applyBorder="1" applyAlignment="1" applyProtection="1">
      <alignment horizontal="center" vertical="center"/>
      <protection hidden="1"/>
    </xf>
    <xf numFmtId="172" fontId="41" fillId="3" borderId="77" xfId="9" applyNumberFormat="1" applyFont="1" applyFill="1" applyBorder="1" applyAlignment="1" applyProtection="1">
      <alignment horizontal="center" vertical="center"/>
      <protection hidden="1"/>
    </xf>
    <xf numFmtId="0" fontId="40" fillId="0" borderId="0" xfId="9" applyAlignment="1" applyProtection="1">
      <alignment horizontal="center" vertical="center"/>
      <protection locked="0"/>
    </xf>
    <xf numFmtId="10" fontId="40" fillId="0" borderId="78" xfId="3" applyNumberFormat="1" applyFont="1" applyFill="1" applyBorder="1" applyAlignment="1" applyProtection="1">
      <alignment vertical="center"/>
    </xf>
    <xf numFmtId="172" fontId="40" fillId="0" borderId="51" xfId="9" applyNumberFormat="1" applyBorder="1" applyAlignment="1">
      <alignment vertical="center"/>
    </xf>
    <xf numFmtId="10" fontId="40" fillId="13" borderId="71" xfId="3" applyNumberFormat="1" applyFont="1" applyFill="1" applyBorder="1" applyAlignment="1" applyProtection="1">
      <alignment horizontal="center" vertical="center"/>
      <protection locked="0"/>
    </xf>
    <xf numFmtId="10" fontId="40" fillId="13" borderId="79" xfId="3" applyNumberFormat="1" applyFont="1" applyFill="1" applyBorder="1" applyAlignment="1" applyProtection="1">
      <alignment horizontal="center" vertical="center"/>
      <protection locked="0"/>
    </xf>
    <xf numFmtId="0" fontId="41" fillId="0" borderId="80" xfId="9" applyFont="1" applyBorder="1" applyAlignment="1" applyProtection="1">
      <alignment horizontal="left" vertical="center" indent="1"/>
      <protection hidden="1"/>
    </xf>
    <xf numFmtId="0" fontId="41" fillId="0" borderId="81" xfId="9" applyFont="1" applyBorder="1" applyAlignment="1" applyProtection="1">
      <alignment horizontal="left" vertical="center"/>
      <protection hidden="1"/>
    </xf>
    <xf numFmtId="0" fontId="40" fillId="0" borderId="82" xfId="9" applyBorder="1" applyAlignment="1" applyProtection="1">
      <alignment horizontal="center" vertical="center"/>
      <protection hidden="1"/>
    </xf>
    <xf numFmtId="172" fontId="40" fillId="13" borderId="83" xfId="9" applyNumberFormat="1" applyFill="1" applyBorder="1" applyAlignment="1" applyProtection="1">
      <alignment vertical="center"/>
      <protection locked="0"/>
    </xf>
    <xf numFmtId="172" fontId="40" fillId="13" borderId="84" xfId="9" applyNumberFormat="1" applyFill="1" applyBorder="1" applyAlignment="1" applyProtection="1">
      <alignment horizontal="center" vertical="center"/>
      <protection locked="0"/>
    </xf>
    <xf numFmtId="172" fontId="40" fillId="13" borderId="85" xfId="9" applyNumberFormat="1" applyFill="1" applyBorder="1" applyAlignment="1" applyProtection="1">
      <alignment horizontal="center" vertical="center"/>
      <protection locked="0"/>
    </xf>
    <xf numFmtId="0" fontId="40" fillId="0" borderId="86" xfId="9" applyBorder="1" applyAlignment="1" applyProtection="1">
      <alignment vertical="center"/>
      <protection hidden="1"/>
    </xf>
    <xf numFmtId="0" fontId="50" fillId="4" borderId="0" xfId="0" applyFont="1" applyFill="1" applyAlignment="1">
      <alignment vertical="center"/>
    </xf>
    <xf numFmtId="0" fontId="40" fillId="13" borderId="51" xfId="9" applyFill="1" applyBorder="1" applyAlignment="1" applyProtection="1">
      <alignment horizontal="center" vertical="center"/>
      <protection locked="0"/>
    </xf>
    <xf numFmtId="0" fontId="40" fillId="13" borderId="83" xfId="9" applyFill="1" applyBorder="1" applyAlignment="1" applyProtection="1">
      <alignment horizontal="center" vertical="center"/>
      <protection locked="0"/>
    </xf>
    <xf numFmtId="172" fontId="40" fillId="13" borderId="51" xfId="9" applyNumberFormat="1" applyFill="1" applyBorder="1" applyAlignment="1" applyProtection="1">
      <alignment horizontal="center" vertical="center"/>
      <protection locked="0"/>
    </xf>
    <xf numFmtId="10" fontId="40" fillId="13" borderId="83" xfId="3" applyNumberFormat="1" applyFont="1" applyFill="1" applyBorder="1" applyAlignment="1" applyProtection="1">
      <alignment horizontal="center" vertical="center"/>
      <protection locked="0"/>
    </xf>
    <xf numFmtId="172" fontId="40" fillId="13" borderId="87" xfId="9" applyNumberFormat="1" applyFill="1" applyBorder="1" applyAlignment="1" applyProtection="1">
      <alignment horizontal="center" vertical="center"/>
      <protection locked="0"/>
    </xf>
    <xf numFmtId="0" fontId="40" fillId="13" borderId="57" xfId="9" applyFill="1" applyBorder="1" applyAlignment="1" applyProtection="1">
      <alignment horizontal="center" vertical="center"/>
      <protection locked="0"/>
    </xf>
    <xf numFmtId="0" fontId="40" fillId="13" borderId="58" xfId="9" applyFill="1" applyBorder="1" applyAlignment="1" applyProtection="1">
      <alignment horizontal="center" vertical="center"/>
      <protection locked="0"/>
    </xf>
    <xf numFmtId="172" fontId="40" fillId="13" borderId="57" xfId="9" applyNumberFormat="1" applyFill="1" applyBorder="1" applyAlignment="1" applyProtection="1">
      <alignment horizontal="center" vertical="center"/>
      <protection locked="0"/>
    </xf>
    <xf numFmtId="10" fontId="40" fillId="13" borderId="58" xfId="3" applyNumberFormat="1" applyFont="1" applyFill="1" applyBorder="1" applyAlignment="1" applyProtection="1">
      <alignment horizontal="center" vertical="center"/>
      <protection locked="0"/>
    </xf>
    <xf numFmtId="172" fontId="40" fillId="13" borderId="88" xfId="9" applyNumberFormat="1" applyFill="1" applyBorder="1" applyAlignment="1" applyProtection="1">
      <alignment horizontal="center" vertical="center"/>
      <protection locked="0"/>
    </xf>
    <xf numFmtId="0" fontId="41" fillId="0" borderId="0" xfId="9" applyFont="1" applyAlignment="1" applyProtection="1">
      <alignment horizontal="center"/>
      <protection hidden="1"/>
    </xf>
    <xf numFmtId="0" fontId="40" fillId="0" borderId="66" xfId="9" applyBorder="1" applyAlignment="1" applyProtection="1">
      <alignment horizontal="center" vertical="center"/>
      <protection hidden="1"/>
    </xf>
    <xf numFmtId="0" fontId="40" fillId="13" borderId="89" xfId="9" applyFill="1" applyBorder="1" applyAlignment="1" applyProtection="1">
      <alignment horizontal="center" vertical="center"/>
      <protection locked="0"/>
    </xf>
    <xf numFmtId="172" fontId="40" fillId="13" borderId="90" xfId="9" applyNumberFormat="1" applyFill="1" applyBorder="1" applyAlignment="1" applyProtection="1">
      <alignment horizontal="center" vertical="center"/>
      <protection locked="0"/>
    </xf>
    <xf numFmtId="10" fontId="40" fillId="13" borderId="89" xfId="3" applyNumberFormat="1" applyFont="1" applyFill="1" applyBorder="1" applyAlignment="1" applyProtection="1">
      <alignment horizontal="center" vertical="center"/>
      <protection locked="0"/>
    </xf>
    <xf numFmtId="172" fontId="40" fillId="13" borderId="91" xfId="9" applyNumberFormat="1" applyFill="1" applyBorder="1" applyAlignment="1" applyProtection="1">
      <alignment horizontal="center" vertical="center"/>
      <protection locked="0"/>
    </xf>
    <xf numFmtId="0" fontId="40" fillId="13" borderId="92" xfId="9" applyFill="1" applyBorder="1" applyAlignment="1" applyProtection="1">
      <alignment horizontal="center" vertical="center"/>
      <protection locked="0" hidden="1"/>
    </xf>
    <xf numFmtId="0" fontId="40" fillId="13" borderId="87" xfId="9" applyFill="1" applyBorder="1" applyAlignment="1" applyProtection="1">
      <alignment horizontal="center" vertical="center"/>
      <protection locked="0"/>
    </xf>
    <xf numFmtId="0" fontId="40" fillId="13" borderId="93" xfId="9" applyFill="1" applyBorder="1" applyAlignment="1" applyProtection="1">
      <alignment horizontal="center" vertical="center"/>
      <protection locked="0" hidden="1"/>
    </xf>
    <xf numFmtId="0" fontId="40" fillId="13" borderId="88" xfId="9" applyFill="1" applyBorder="1" applyAlignment="1" applyProtection="1">
      <alignment horizontal="center" vertical="center"/>
      <protection locked="0"/>
    </xf>
    <xf numFmtId="0" fontId="40" fillId="13" borderId="94" xfId="9" applyFill="1" applyBorder="1" applyAlignment="1" applyProtection="1">
      <alignment horizontal="center" vertical="center"/>
      <protection locked="0" hidden="1"/>
    </xf>
    <xf numFmtId="0" fontId="40" fillId="13" borderId="90" xfId="9" applyFill="1" applyBorder="1" applyAlignment="1" applyProtection="1">
      <alignment horizontal="center" vertical="center"/>
      <protection locked="0"/>
    </xf>
    <xf numFmtId="0" fontId="40" fillId="13" borderId="91" xfId="9" applyFill="1" applyBorder="1" applyAlignment="1" applyProtection="1">
      <alignment horizontal="center" vertical="center"/>
      <protection locked="0"/>
    </xf>
    <xf numFmtId="0" fontId="40" fillId="0" borderId="0" xfId="9" applyAlignment="1">
      <alignment horizontal="center" vertical="center"/>
    </xf>
    <xf numFmtId="172" fontId="40" fillId="0" borderId="0" xfId="9" applyNumberFormat="1" applyAlignment="1">
      <alignment horizontal="center" vertical="center"/>
    </xf>
    <xf numFmtId="10" fontId="40" fillId="0" borderId="0" xfId="3" applyNumberFormat="1" applyFont="1" applyFill="1" applyBorder="1" applyAlignment="1" applyProtection="1">
      <alignment horizontal="center" vertical="center"/>
    </xf>
    <xf numFmtId="0" fontId="41" fillId="0" borderId="0" xfId="8" applyFont="1"/>
    <xf numFmtId="0" fontId="51" fillId="0" borderId="0" xfId="9" applyFont="1" applyAlignment="1" applyProtection="1">
      <alignment horizontal="center" vertical="center"/>
      <protection hidden="1"/>
    </xf>
    <xf numFmtId="0" fontId="52" fillId="0" borderId="0" xfId="8" applyFont="1"/>
    <xf numFmtId="0" fontId="40" fillId="0" borderId="0" xfId="9" applyAlignment="1" applyProtection="1">
      <alignment horizontal="left" vertical="center" indent="1"/>
      <protection hidden="1"/>
    </xf>
    <xf numFmtId="0" fontId="53" fillId="0" borderId="0" xfId="9" applyFont="1" applyAlignment="1" applyProtection="1">
      <alignment horizontal="right" vertical="center" indent="1"/>
      <protection hidden="1"/>
    </xf>
    <xf numFmtId="172" fontId="40" fillId="3" borderId="95" xfId="9" applyNumberFormat="1" applyFill="1" applyBorder="1" applyAlignment="1" applyProtection="1">
      <alignment horizontal="center" vertical="center"/>
      <protection hidden="1"/>
    </xf>
    <xf numFmtId="0" fontId="53" fillId="0" borderId="0" xfId="9" applyFont="1" applyAlignment="1" applyProtection="1">
      <alignment horizontal="left" vertical="center" indent="1"/>
      <protection hidden="1"/>
    </xf>
    <xf numFmtId="0" fontId="54" fillId="0" borderId="0" xfId="9" applyFont="1" applyAlignment="1" applyProtection="1">
      <alignment horizontal="left" vertical="center" indent="1"/>
      <protection hidden="1"/>
    </xf>
    <xf numFmtId="2" fontId="41" fillId="3" borderId="95" xfId="9" applyNumberFormat="1" applyFont="1" applyFill="1" applyBorder="1" applyAlignment="1" applyProtection="1">
      <alignment horizontal="center" vertical="center"/>
      <protection hidden="1"/>
    </xf>
    <xf numFmtId="0" fontId="55" fillId="0" borderId="0" xfId="9" applyFont="1" applyAlignment="1" applyProtection="1">
      <alignment vertical="center"/>
      <protection hidden="1"/>
    </xf>
    <xf numFmtId="0" fontId="52" fillId="0" borderId="0" xfId="9" applyFont="1" applyAlignment="1" applyProtection="1">
      <alignment vertical="center"/>
      <protection hidden="1"/>
    </xf>
    <xf numFmtId="0" fontId="56" fillId="0" borderId="0" xfId="8" applyFont="1" applyProtection="1">
      <protection hidden="1"/>
    </xf>
    <xf numFmtId="0" fontId="57" fillId="0" borderId="0" xfId="8" applyFont="1"/>
    <xf numFmtId="172" fontId="41" fillId="3" borderId="96" xfId="9" applyNumberFormat="1" applyFont="1" applyFill="1" applyBorder="1" applyAlignment="1" applyProtection="1">
      <alignment horizontal="center" vertical="center"/>
      <protection hidden="1"/>
    </xf>
    <xf numFmtId="172" fontId="41" fillId="3" borderId="95" xfId="9" applyNumberFormat="1" applyFont="1" applyFill="1" applyBorder="1" applyAlignment="1" applyProtection="1">
      <alignment horizontal="center" vertical="center"/>
      <protection hidden="1"/>
    </xf>
    <xf numFmtId="172" fontId="2" fillId="3" borderId="1" xfId="4" applyNumberFormat="1" applyFill="1" applyAlignment="1" applyProtection="1">
      <alignment horizontal="center" vertical="center"/>
      <protection hidden="1"/>
    </xf>
    <xf numFmtId="172" fontId="41" fillId="3" borderId="97" xfId="9" applyNumberFormat="1" applyFont="1" applyFill="1" applyBorder="1" applyAlignment="1" applyProtection="1">
      <alignment horizontal="center" vertical="center"/>
      <protection hidden="1"/>
    </xf>
    <xf numFmtId="2" fontId="2" fillId="3" borderId="1" xfId="4" applyNumberFormat="1" applyFill="1" applyAlignment="1" applyProtection="1">
      <alignment horizontal="center" vertical="center"/>
      <protection hidden="1"/>
    </xf>
    <xf numFmtId="0" fontId="40" fillId="0" borderId="98" xfId="9" applyBorder="1" applyAlignment="1" applyProtection="1">
      <alignment vertical="center"/>
      <protection hidden="1"/>
    </xf>
    <xf numFmtId="0" fontId="40" fillId="0" borderId="99" xfId="9" applyBorder="1" applyAlignment="1" applyProtection="1">
      <alignment vertical="center"/>
      <protection hidden="1"/>
    </xf>
    <xf numFmtId="0" fontId="58" fillId="0" borderId="0" xfId="9" applyFont="1" applyAlignment="1" applyProtection="1">
      <alignment vertical="center"/>
      <protection hidden="1"/>
    </xf>
    <xf numFmtId="0" fontId="59" fillId="0" borderId="0" xfId="9" applyFont="1" applyAlignment="1" applyProtection="1">
      <alignment vertical="center"/>
      <protection hidden="1"/>
    </xf>
    <xf numFmtId="0" fontId="4" fillId="0" borderId="0" xfId="8" applyFont="1"/>
    <xf numFmtId="0" fontId="4" fillId="0" borderId="0" xfId="8" applyFont="1" applyProtection="1">
      <protection hidden="1"/>
    </xf>
    <xf numFmtId="9" fontId="3" fillId="13" borderId="0" xfId="8" applyNumberFormat="1" applyFill="1"/>
    <xf numFmtId="0" fontId="3" fillId="0" borderId="41" xfId="8" applyBorder="1"/>
    <xf numFmtId="0" fontId="3" fillId="0" borderId="42" xfId="8" applyBorder="1"/>
    <xf numFmtId="0" fontId="3" fillId="0" borderId="43" xfId="8" applyBorder="1"/>
    <xf numFmtId="172" fontId="40" fillId="0" borderId="0" xfId="9" applyNumberFormat="1" applyAlignment="1" applyProtection="1">
      <alignment vertical="center"/>
      <protection hidden="1"/>
    </xf>
    <xf numFmtId="10" fontId="3" fillId="13" borderId="0" xfId="8" applyNumberFormat="1" applyFill="1"/>
    <xf numFmtId="10" fontId="3" fillId="13" borderId="45" xfId="8" applyNumberFormat="1" applyFill="1" applyBorder="1"/>
    <xf numFmtId="10" fontId="3" fillId="13" borderId="23" xfId="8" applyNumberFormat="1" applyFill="1" applyBorder="1"/>
    <xf numFmtId="10" fontId="3" fillId="13" borderId="47" xfId="8" applyNumberFormat="1" applyFill="1" applyBorder="1"/>
    <xf numFmtId="0" fontId="3" fillId="10" borderId="0" xfId="8" applyFill="1"/>
    <xf numFmtId="10" fontId="3" fillId="10" borderId="0" xfId="8" applyNumberFormat="1" applyFill="1"/>
    <xf numFmtId="0" fontId="3" fillId="13" borderId="0" xfId="8" applyFill="1"/>
    <xf numFmtId="171" fontId="0" fillId="13" borderId="0" xfId="10" applyNumberFormat="1" applyFont="1" applyFill="1"/>
    <xf numFmtId="0" fontId="60" fillId="0" borderId="0" xfId="9" applyFont="1" applyAlignment="1" applyProtection="1">
      <alignment vertical="center"/>
      <protection hidden="1"/>
    </xf>
    <xf numFmtId="10" fontId="40" fillId="0" borderId="0" xfId="9" applyNumberFormat="1" applyAlignment="1" applyProtection="1">
      <alignment vertical="center"/>
      <protection hidden="1"/>
    </xf>
    <xf numFmtId="10" fontId="40" fillId="0" borderId="0" xfId="3" applyNumberFormat="1" applyFont="1" applyAlignment="1" applyProtection="1">
      <alignment vertical="center"/>
      <protection hidden="1"/>
    </xf>
    <xf numFmtId="44" fontId="40" fillId="0" borderId="0" xfId="11" applyFont="1" applyAlignment="1" applyProtection="1">
      <alignment vertical="center"/>
      <protection hidden="1"/>
    </xf>
    <xf numFmtId="44" fontId="40" fillId="0" borderId="0" xfId="9" applyNumberFormat="1" applyAlignment="1" applyProtection="1">
      <alignment vertical="center"/>
      <protection hidden="1"/>
    </xf>
    <xf numFmtId="9" fontId="3" fillId="0" borderId="0" xfId="8" applyNumberFormat="1" applyProtection="1">
      <protection hidden="1"/>
    </xf>
    <xf numFmtId="0" fontId="61" fillId="0" borderId="4" xfId="0" applyFont="1" applyBorder="1" applyAlignment="1">
      <alignment horizontal="left" vertical="center"/>
    </xf>
    <xf numFmtId="0" fontId="3" fillId="0" borderId="34" xfId="8" applyBorder="1"/>
    <xf numFmtId="0" fontId="16" fillId="9" borderId="5" xfId="8" applyFont="1" applyFill="1" applyBorder="1"/>
    <xf numFmtId="0" fontId="16" fillId="9" borderId="6" xfId="8" applyFont="1" applyFill="1" applyBorder="1"/>
    <xf numFmtId="0" fontId="17" fillId="9" borderId="6" xfId="8" applyFont="1" applyFill="1" applyBorder="1" applyAlignment="1">
      <alignment horizontal="center" vertical="center"/>
    </xf>
    <xf numFmtId="0" fontId="17" fillId="9" borderId="6" xfId="8" applyFont="1" applyFill="1" applyBorder="1" applyAlignment="1">
      <alignment horizontal="left"/>
    </xf>
    <xf numFmtId="0" fontId="16" fillId="9" borderId="9" xfId="8" applyFont="1" applyFill="1" applyBorder="1"/>
    <xf numFmtId="0" fontId="16" fillId="9" borderId="10" xfId="8" applyFont="1" applyFill="1" applyBorder="1" applyAlignment="1">
      <alignment vertical="center"/>
    </xf>
    <xf numFmtId="0" fontId="20" fillId="9" borderId="0" xfId="8" applyFont="1" applyFill="1" applyAlignment="1">
      <alignment vertical="center"/>
    </xf>
    <xf numFmtId="0" fontId="16" fillId="9" borderId="0" xfId="8" applyFont="1" applyFill="1" applyAlignment="1">
      <alignment vertical="center"/>
    </xf>
    <xf numFmtId="0" fontId="21" fillId="9" borderId="0" xfId="8" applyFont="1" applyFill="1" applyAlignment="1">
      <alignment horizontal="center" vertical="center"/>
    </xf>
    <xf numFmtId="0" fontId="18" fillId="9" borderId="0" xfId="8" applyFont="1" applyFill="1" applyAlignment="1">
      <alignment horizontal="center" vertical="center"/>
    </xf>
    <xf numFmtId="0" fontId="16" fillId="9" borderId="13" xfId="8" applyFont="1" applyFill="1" applyBorder="1" applyAlignment="1">
      <alignment vertical="center"/>
    </xf>
    <xf numFmtId="0" fontId="3" fillId="0" borderId="0" xfId="8" applyAlignment="1">
      <alignment vertical="center"/>
    </xf>
    <xf numFmtId="0" fontId="16" fillId="9" borderId="10" xfId="8" applyFont="1" applyFill="1" applyBorder="1"/>
    <xf numFmtId="0" fontId="16" fillId="9" borderId="0" xfId="8" applyFont="1" applyFill="1" applyAlignment="1">
      <alignment horizontal="left" vertical="center" indent="1"/>
    </xf>
    <xf numFmtId="173" fontId="22" fillId="0" borderId="100" xfId="8" applyNumberFormat="1" applyFont="1" applyBorder="1" applyAlignment="1" applyProtection="1">
      <alignment vertical="center"/>
      <protection locked="0"/>
    </xf>
    <xf numFmtId="173" fontId="22" fillId="0" borderId="101" xfId="8" applyNumberFormat="1" applyFont="1" applyBorder="1" applyAlignment="1" applyProtection="1">
      <alignment vertical="center"/>
      <protection locked="0"/>
    </xf>
    <xf numFmtId="173" fontId="16" fillId="9" borderId="0" xfId="8" applyNumberFormat="1" applyFont="1" applyFill="1" applyAlignment="1">
      <alignment horizontal="center" vertical="center"/>
    </xf>
    <xf numFmtId="0" fontId="4" fillId="9" borderId="0" xfId="8" applyFont="1" applyFill="1" applyAlignment="1">
      <alignment horizontal="left" vertical="center" indent="2"/>
    </xf>
    <xf numFmtId="164" fontId="62" fillId="14" borderId="102" xfId="8" applyNumberFormat="1" applyFont="1" applyFill="1" applyBorder="1" applyAlignment="1">
      <alignment horizontal="center" vertical="center"/>
    </xf>
    <xf numFmtId="0" fontId="16" fillId="9" borderId="0" xfId="8" applyFont="1" applyFill="1" applyAlignment="1">
      <alignment horizontal="center" vertical="center"/>
    </xf>
    <xf numFmtId="0" fontId="14" fillId="9" borderId="0" xfId="8" applyFont="1" applyFill="1" applyAlignment="1">
      <alignment horizontal="left" vertical="center" indent="2"/>
    </xf>
    <xf numFmtId="0" fontId="16" fillId="9" borderId="13" xfId="8" applyFont="1" applyFill="1" applyBorder="1"/>
    <xf numFmtId="172" fontId="22" fillId="0" borderId="100" xfId="8" applyNumberFormat="1" applyFont="1" applyBorder="1" applyAlignment="1" applyProtection="1">
      <alignment vertical="center"/>
      <protection locked="0"/>
    </xf>
    <xf numFmtId="172" fontId="22" fillId="0" borderId="101" xfId="8" applyNumberFormat="1" applyFont="1" applyBorder="1" applyAlignment="1" applyProtection="1">
      <alignment vertical="center"/>
      <protection locked="0"/>
    </xf>
    <xf numFmtId="172" fontId="16" fillId="9" borderId="0" xfId="8" applyNumberFormat="1" applyFont="1" applyFill="1" applyAlignment="1">
      <alignment horizontal="center" vertical="center"/>
    </xf>
    <xf numFmtId="0" fontId="16" fillId="9" borderId="0" xfId="8" applyFont="1" applyFill="1" applyAlignment="1">
      <alignment horizontal="center"/>
    </xf>
    <xf numFmtId="0" fontId="16" fillId="9" borderId="10" xfId="8" applyFont="1" applyFill="1" applyBorder="1" applyAlignment="1">
      <alignment horizontal="center" vertical="center"/>
    </xf>
    <xf numFmtId="0" fontId="16" fillId="9" borderId="0" xfId="8" quotePrefix="1" applyFont="1" applyFill="1" applyAlignment="1">
      <alignment horizontal="center" vertical="center"/>
    </xf>
    <xf numFmtId="173" fontId="16" fillId="9" borderId="10" xfId="8" applyNumberFormat="1" applyFont="1" applyFill="1" applyBorder="1" applyAlignment="1">
      <alignment horizontal="center" vertical="center"/>
    </xf>
    <xf numFmtId="165" fontId="22" fillId="0" borderId="36" xfId="8" applyNumberFormat="1" applyFont="1" applyBorder="1" applyAlignment="1" applyProtection="1">
      <alignment horizontal="left" vertical="center" indent="1"/>
      <protection locked="0"/>
    </xf>
    <xf numFmtId="173" fontId="22" fillId="0" borderId="36" xfId="8" applyNumberFormat="1" applyFont="1" applyBorder="1" applyAlignment="1" applyProtection="1">
      <alignment horizontal="center" vertical="center"/>
      <protection locked="0"/>
    </xf>
    <xf numFmtId="167" fontId="5" fillId="9" borderId="0" xfId="3" applyNumberFormat="1" applyFont="1" applyFill="1" applyBorder="1" applyAlignment="1">
      <alignment horizontal="center" vertical="center"/>
    </xf>
    <xf numFmtId="172" fontId="22" fillId="0" borderId="36" xfId="8" applyNumberFormat="1" applyFont="1" applyBorder="1" applyAlignment="1" applyProtection="1">
      <alignment horizontal="right" vertical="center"/>
      <protection locked="0"/>
    </xf>
    <xf numFmtId="179" fontId="22" fillId="0" borderId="36" xfId="8" applyNumberFormat="1" applyFont="1" applyBorder="1" applyAlignment="1" applyProtection="1">
      <alignment horizontal="center" vertical="center"/>
      <protection locked="0"/>
    </xf>
    <xf numFmtId="173" fontId="5" fillId="9" borderId="0" xfId="8" applyNumberFormat="1" applyFont="1" applyFill="1" applyAlignment="1">
      <alignment horizontal="center" vertical="center"/>
    </xf>
    <xf numFmtId="0" fontId="16" fillId="9" borderId="13" xfId="8" applyFont="1" applyFill="1" applyBorder="1" applyAlignment="1">
      <alignment horizontal="left" vertical="center"/>
    </xf>
    <xf numFmtId="0" fontId="23" fillId="9" borderId="103" xfId="8" applyFont="1" applyFill="1" applyBorder="1" applyAlignment="1">
      <alignment vertical="center"/>
    </xf>
    <xf numFmtId="0" fontId="23" fillId="9" borderId="104" xfId="8" applyFont="1" applyFill="1" applyBorder="1" applyAlignment="1">
      <alignment horizontal="center" vertical="center"/>
    </xf>
    <xf numFmtId="0" fontId="23" fillId="9" borderId="0" xfId="8" applyFont="1" applyFill="1" applyAlignment="1">
      <alignment horizontal="center" vertical="center"/>
    </xf>
    <xf numFmtId="0" fontId="14" fillId="9" borderId="0" xfId="8" applyFont="1" applyFill="1" applyAlignment="1">
      <alignment vertical="center"/>
    </xf>
    <xf numFmtId="173" fontId="8" fillId="15" borderId="105" xfId="8" applyNumberFormat="1" applyFont="1" applyFill="1" applyBorder="1" applyAlignment="1">
      <alignment horizontal="center" vertical="center"/>
    </xf>
    <xf numFmtId="9" fontId="5" fillId="9" borderId="0" xfId="8" applyNumberFormat="1" applyFont="1" applyFill="1" applyAlignment="1">
      <alignment horizontal="center" vertical="center"/>
    </xf>
    <xf numFmtId="172" fontId="8" fillId="15" borderId="105" xfId="8" applyNumberFormat="1" applyFont="1" applyFill="1" applyBorder="1" applyAlignment="1">
      <alignment horizontal="right" vertical="center"/>
    </xf>
    <xf numFmtId="0" fontId="5" fillId="9" borderId="0" xfId="8" applyFont="1" applyFill="1"/>
    <xf numFmtId="0" fontId="18" fillId="9" borderId="0" xfId="8" applyFont="1" applyFill="1" applyAlignment="1">
      <alignment vertical="center"/>
    </xf>
    <xf numFmtId="0" fontId="21" fillId="9" borderId="0" xfId="8" applyFont="1" applyFill="1" applyAlignment="1">
      <alignment horizontal="right" vertical="center"/>
    </xf>
    <xf numFmtId="172" fontId="16" fillId="9" borderId="0" xfId="8" applyNumberFormat="1" applyFont="1" applyFill="1" applyAlignment="1">
      <alignment horizontal="right" vertical="center"/>
    </xf>
    <xf numFmtId="0" fontId="21" fillId="9" borderId="0" xfId="8" applyFont="1" applyFill="1" applyAlignment="1">
      <alignment horizontal="left" vertical="center" indent="1"/>
    </xf>
    <xf numFmtId="0" fontId="16" fillId="9" borderId="0" xfId="8" applyFont="1" applyFill="1"/>
    <xf numFmtId="0" fontId="16" fillId="9" borderId="31" xfId="8" applyFont="1" applyFill="1" applyBorder="1"/>
    <xf numFmtId="0" fontId="30" fillId="9" borderId="32" xfId="8" applyFont="1" applyFill="1" applyBorder="1" applyAlignment="1">
      <alignment vertical="center"/>
    </xf>
    <xf numFmtId="0" fontId="16" fillId="9" borderId="32" xfId="8" applyFont="1" applyFill="1" applyBorder="1"/>
    <xf numFmtId="0" fontId="16" fillId="9" borderId="32" xfId="8" applyFont="1" applyFill="1" applyBorder="1" applyAlignment="1">
      <alignment vertical="center"/>
    </xf>
    <xf numFmtId="0" fontId="16" fillId="9" borderId="33" xfId="8" applyFont="1" applyFill="1" applyBorder="1"/>
    <xf numFmtId="0" fontId="16" fillId="0" borderId="28" xfId="8" applyFont="1" applyBorder="1"/>
    <xf numFmtId="16" fontId="63" fillId="0" borderId="29" xfId="0" applyNumberFormat="1" applyFont="1" applyBorder="1" applyAlignment="1">
      <alignment horizontal="left"/>
    </xf>
    <xf numFmtId="0" fontId="16" fillId="0" borderId="29" xfId="8" applyFont="1" applyBorder="1"/>
    <xf numFmtId="0" fontId="16" fillId="8" borderId="0" xfId="8" applyFont="1" applyFill="1"/>
    <xf numFmtId="0" fontId="25" fillId="8" borderId="0" xfId="8" applyFont="1" applyFill="1" applyAlignment="1">
      <alignment vertical="center"/>
    </xf>
    <xf numFmtId="0" fontId="16" fillId="8" borderId="0" xfId="8" applyFont="1" applyFill="1" applyAlignment="1">
      <alignment vertical="center"/>
    </xf>
    <xf numFmtId="0" fontId="16" fillId="8" borderId="13" xfId="8" applyFont="1" applyFill="1" applyBorder="1"/>
    <xf numFmtId="0" fontId="16" fillId="0" borderId="10" xfId="8" applyFont="1" applyBorder="1"/>
    <xf numFmtId="0" fontId="16" fillId="0" borderId="0" xfId="8" applyFont="1"/>
    <xf numFmtId="0" fontId="25" fillId="8" borderId="0" xfId="8" applyFont="1" applyFill="1"/>
    <xf numFmtId="0" fontId="5" fillId="0" borderId="0" xfId="8" applyFont="1"/>
    <xf numFmtId="0" fontId="16" fillId="0" borderId="31" xfId="8" applyFont="1" applyBorder="1"/>
    <xf numFmtId="0" fontId="16" fillId="0" borderId="32" xfId="8" applyFont="1" applyBorder="1"/>
    <xf numFmtId="0" fontId="16" fillId="8" borderId="32" xfId="8" applyFont="1" applyFill="1" applyBorder="1"/>
    <xf numFmtId="0" fontId="16" fillId="8" borderId="32" xfId="8" applyFont="1" applyFill="1" applyBorder="1" applyAlignment="1">
      <alignment vertical="center"/>
    </xf>
    <xf numFmtId="0" fontId="16" fillId="8" borderId="33" xfId="8" applyFont="1" applyFill="1" applyBorder="1"/>
    <xf numFmtId="0" fontId="16" fillId="0" borderId="0" xfId="8" applyFont="1" applyAlignment="1">
      <alignment vertical="center"/>
    </xf>
    <xf numFmtId="0" fontId="16" fillId="0" borderId="0" xfId="8" applyFont="1" applyAlignment="1">
      <alignment horizontal="left" vertical="center" indent="1"/>
    </xf>
    <xf numFmtId="0" fontId="36" fillId="0" borderId="0" xfId="8" applyFont="1"/>
    <xf numFmtId="0" fontId="37" fillId="0" borderId="0" xfId="8" applyFont="1"/>
    <xf numFmtId="0" fontId="36" fillId="0" borderId="0" xfId="8" applyFont="1" applyAlignment="1">
      <alignment horizontal="right"/>
    </xf>
    <xf numFmtId="0" fontId="36" fillId="0" borderId="40" xfId="8" applyFont="1" applyBorder="1"/>
    <xf numFmtId="0" fontId="16" fillId="0" borderId="40" xfId="8" applyFont="1" applyBorder="1"/>
    <xf numFmtId="0" fontId="16" fillId="16" borderId="0" xfId="8" applyFont="1" applyFill="1"/>
    <xf numFmtId="0" fontId="9" fillId="0" borderId="4" xfId="0" applyFont="1" applyBorder="1" applyAlignment="1" applyProtection="1">
      <alignment horizontal="right" vertical="center"/>
      <protection hidden="1"/>
    </xf>
    <xf numFmtId="0" fontId="9" fillId="0" borderId="4" xfId="0" applyFont="1" applyBorder="1" applyAlignment="1" applyProtection="1">
      <alignment horizontal="left" vertical="center"/>
      <protection hidden="1"/>
    </xf>
    <xf numFmtId="0" fontId="10" fillId="0" borderId="34" xfId="8" applyFont="1" applyBorder="1" applyAlignment="1">
      <alignment horizontal="left" vertical="center" indent="1"/>
    </xf>
    <xf numFmtId="0" fontId="3" fillId="0" borderId="34" xfId="8" applyBorder="1" applyAlignment="1">
      <alignment vertical="center"/>
    </xf>
    <xf numFmtId="0" fontId="11" fillId="0" borderId="34" xfId="8" applyFont="1" applyBorder="1" applyAlignment="1" applyProtection="1">
      <alignment vertical="center"/>
      <protection locked="0"/>
    </xf>
    <xf numFmtId="0" fontId="3" fillId="0" borderId="35" xfId="8" applyBorder="1" applyAlignment="1">
      <alignment vertical="center"/>
    </xf>
    <xf numFmtId="0" fontId="12" fillId="4" borderId="106" xfId="0" applyFont="1" applyFill="1" applyBorder="1"/>
    <xf numFmtId="0" fontId="12" fillId="4" borderId="107" xfId="0" applyFont="1" applyFill="1" applyBorder="1"/>
    <xf numFmtId="0" fontId="6" fillId="4" borderId="0" xfId="0" applyFont="1" applyFill="1" applyProtection="1">
      <protection hidden="1"/>
    </xf>
    <xf numFmtId="0" fontId="6" fillId="4" borderId="108" xfId="0" applyFont="1" applyFill="1" applyBorder="1"/>
    <xf numFmtId="0" fontId="6" fillId="4" borderId="3" xfId="0" applyFont="1" applyFill="1" applyBorder="1"/>
    <xf numFmtId="0" fontId="12" fillId="4" borderId="109" xfId="0" applyFont="1" applyFill="1" applyBorder="1"/>
    <xf numFmtId="0" fontId="12" fillId="4" borderId="110" xfId="0" applyFont="1" applyFill="1" applyBorder="1"/>
    <xf numFmtId="0" fontId="17" fillId="9" borderId="6" xfId="8" applyFont="1" applyFill="1" applyBorder="1" applyAlignment="1">
      <alignment horizontal="left" vertical="center" indent="6"/>
    </xf>
    <xf numFmtId="0" fontId="14" fillId="9" borderId="0" xfId="8" applyFont="1" applyFill="1" applyAlignment="1">
      <alignment horizontal="center"/>
    </xf>
    <xf numFmtId="0" fontId="64" fillId="9" borderId="0" xfId="8" applyFont="1" applyFill="1" applyAlignment="1">
      <alignment horizontal="center"/>
    </xf>
    <xf numFmtId="0" fontId="35" fillId="9" borderId="6" xfId="8" applyFont="1" applyFill="1" applyBorder="1" applyAlignment="1" applyProtection="1">
      <alignment horizontal="center"/>
      <protection hidden="1"/>
    </xf>
    <xf numFmtId="0" fontId="35" fillId="9" borderId="6" xfId="8" applyFont="1" applyFill="1" applyBorder="1" applyAlignment="1">
      <alignment horizontal="center"/>
    </xf>
    <xf numFmtId="0" fontId="14" fillId="9" borderId="0" xfId="8" applyFont="1" applyFill="1" applyAlignment="1" applyProtection="1">
      <alignment vertical="center"/>
      <protection hidden="1"/>
    </xf>
    <xf numFmtId="0" fontId="31" fillId="9" borderId="0" xfId="8" applyFont="1" applyFill="1" applyAlignment="1">
      <alignment horizontal="center" vertical="top"/>
    </xf>
    <xf numFmtId="180" fontId="22" fillId="0" borderId="36" xfId="8" applyNumberFormat="1" applyFont="1" applyBorder="1" applyAlignment="1" applyProtection="1">
      <alignment vertical="center"/>
      <protection locked="0"/>
    </xf>
    <xf numFmtId="10" fontId="22" fillId="17" borderId="36" xfId="3" applyNumberFormat="1" applyFont="1" applyFill="1" applyBorder="1" applyAlignment="1" applyProtection="1">
      <alignment horizontal="center" vertical="center"/>
      <protection hidden="1"/>
    </xf>
    <xf numFmtId="173" fontId="22" fillId="17" borderId="36" xfId="8" applyNumberFormat="1" applyFont="1" applyFill="1" applyBorder="1" applyAlignment="1" applyProtection="1">
      <alignment vertical="center"/>
      <protection hidden="1"/>
    </xf>
    <xf numFmtId="0" fontId="35" fillId="9" borderId="0" xfId="8" applyFont="1" applyFill="1" applyAlignment="1">
      <alignment horizontal="center"/>
    </xf>
    <xf numFmtId="0" fontId="65" fillId="9" borderId="0" xfId="8" applyFont="1" applyFill="1" applyAlignment="1" applyProtection="1">
      <alignment horizontal="left"/>
      <protection hidden="1"/>
    </xf>
    <xf numFmtId="173" fontId="44" fillId="18" borderId="36" xfId="3" applyNumberFormat="1" applyFont="1" applyFill="1" applyBorder="1" applyAlignment="1" applyProtection="1">
      <alignment horizontal="center" vertical="center"/>
      <protection locked="0"/>
    </xf>
    <xf numFmtId="0" fontId="44" fillId="18" borderId="36" xfId="3" applyNumberFormat="1" applyFont="1" applyFill="1" applyBorder="1" applyAlignment="1" applyProtection="1">
      <alignment horizontal="center" vertical="center"/>
      <protection locked="0"/>
    </xf>
    <xf numFmtId="0" fontId="35" fillId="9" borderId="0" xfId="8" applyFont="1" applyFill="1" applyAlignment="1" applyProtection="1">
      <alignment horizontal="left" vertical="top" indent="1"/>
      <protection hidden="1"/>
    </xf>
    <xf numFmtId="0" fontId="3" fillId="9" borderId="0" xfId="8" applyFill="1" applyAlignment="1">
      <alignment vertical="center"/>
    </xf>
    <xf numFmtId="0" fontId="35" fillId="9" borderId="0" xfId="8" applyFont="1" applyFill="1" applyAlignment="1">
      <alignment horizontal="center" vertical="top"/>
    </xf>
    <xf numFmtId="0" fontId="16" fillId="9" borderId="0" xfId="8" applyFont="1" applyFill="1" applyAlignment="1" applyProtection="1">
      <alignment horizontal="left" vertical="center" indent="1"/>
      <protection hidden="1"/>
    </xf>
    <xf numFmtId="0" fontId="3" fillId="9" borderId="0" xfId="8" applyFill="1"/>
    <xf numFmtId="180" fontId="22" fillId="17" borderId="36" xfId="8" applyNumberFormat="1" applyFont="1" applyFill="1" applyBorder="1" applyAlignment="1" applyProtection="1">
      <alignment vertical="center"/>
      <protection hidden="1"/>
    </xf>
    <xf numFmtId="165" fontId="3" fillId="0" borderId="0" xfId="8" applyNumberFormat="1"/>
    <xf numFmtId="0" fontId="16" fillId="9" borderId="0" xfId="8" applyFont="1" applyFill="1" applyAlignment="1" applyProtection="1">
      <alignment horizontal="left" vertical="center"/>
      <protection hidden="1"/>
    </xf>
    <xf numFmtId="173" fontId="22" fillId="18" borderId="36" xfId="3" applyNumberFormat="1" applyFont="1" applyFill="1" applyBorder="1" applyAlignment="1" applyProtection="1">
      <alignment horizontal="center" vertical="center"/>
      <protection locked="0"/>
    </xf>
    <xf numFmtId="0" fontId="35" fillId="9" borderId="0" xfId="8" applyFont="1" applyFill="1" applyAlignment="1">
      <alignment horizontal="left" vertical="top" indent="1"/>
    </xf>
    <xf numFmtId="0" fontId="35" fillId="9" borderId="0" xfId="8" applyFont="1" applyFill="1" applyAlignment="1" applyProtection="1">
      <alignment horizontal="center"/>
      <protection hidden="1"/>
    </xf>
    <xf numFmtId="10" fontId="67" fillId="9" borderId="0" xfId="3" applyNumberFormat="1" applyFont="1" applyFill="1" applyBorder="1" applyAlignment="1" applyProtection="1">
      <alignment horizontal="center" vertical="center"/>
    </xf>
    <xf numFmtId="0" fontId="68" fillId="0" borderId="0" xfId="8" applyFont="1"/>
    <xf numFmtId="0" fontId="69" fillId="0" borderId="0" xfId="8" applyFont="1"/>
    <xf numFmtId="165" fontId="68" fillId="0" borderId="0" xfId="8" applyNumberFormat="1" applyFont="1"/>
    <xf numFmtId="0" fontId="14" fillId="9" borderId="0" xfId="8" applyFont="1" applyFill="1" applyAlignment="1">
      <alignment horizontal="center" vertical="center"/>
    </xf>
    <xf numFmtId="0" fontId="31" fillId="19" borderId="0" xfId="8" applyFont="1" applyFill="1" applyAlignment="1">
      <alignment horizontal="center"/>
    </xf>
    <xf numFmtId="173" fontId="22" fillId="17" borderId="36" xfId="8" applyNumberFormat="1" applyFont="1" applyFill="1" applyBorder="1" applyAlignment="1" applyProtection="1">
      <alignment horizontal="right" vertical="center"/>
      <protection hidden="1"/>
    </xf>
    <xf numFmtId="0" fontId="14" fillId="9" borderId="0" xfId="8" applyFont="1" applyFill="1" applyAlignment="1" applyProtection="1">
      <alignment horizontal="left" vertical="center" indent="1"/>
      <protection hidden="1"/>
    </xf>
    <xf numFmtId="165" fontId="67" fillId="9" borderId="0" xfId="8" applyNumberFormat="1" applyFont="1" applyFill="1" applyAlignment="1">
      <alignment horizontal="center" vertical="center"/>
    </xf>
    <xf numFmtId="165" fontId="19" fillId="0" borderId="36" xfId="8" applyNumberFormat="1" applyFont="1" applyBorder="1" applyAlignment="1" applyProtection="1">
      <alignment horizontal="center" vertical="center"/>
      <protection locked="0"/>
    </xf>
    <xf numFmtId="181" fontId="67" fillId="9" borderId="0" xfId="8" applyNumberFormat="1" applyFont="1" applyFill="1" applyAlignment="1">
      <alignment vertical="center"/>
    </xf>
    <xf numFmtId="0" fontId="16" fillId="9" borderId="0" xfId="8" applyFont="1" applyFill="1" applyAlignment="1" applyProtection="1">
      <alignment vertical="center"/>
      <protection hidden="1"/>
    </xf>
    <xf numFmtId="180" fontId="7" fillId="20" borderId="36" xfId="8" applyNumberFormat="1" applyFont="1" applyFill="1" applyBorder="1" applyAlignment="1" applyProtection="1">
      <alignment vertical="center"/>
      <protection hidden="1"/>
    </xf>
    <xf numFmtId="180" fontId="68" fillId="0" borderId="0" xfId="8" applyNumberFormat="1" applyFont="1"/>
    <xf numFmtId="165" fontId="67" fillId="9" borderId="0" xfId="8" applyNumberFormat="1" applyFont="1" applyFill="1" applyAlignment="1">
      <alignment vertical="center"/>
    </xf>
    <xf numFmtId="0" fontId="16" fillId="0" borderId="5" xfId="8" applyFont="1" applyBorder="1"/>
    <xf numFmtId="0" fontId="16" fillId="0" borderId="6" xfId="8" applyFont="1" applyBorder="1" applyAlignment="1">
      <alignment horizontal="left" vertical="center" indent="1"/>
    </xf>
    <xf numFmtId="0" fontId="3" fillId="0" borderId="6" xfId="8" applyBorder="1"/>
    <xf numFmtId="181" fontId="49" fillId="0" borderId="6" xfId="8" applyNumberFormat="1" applyFont="1" applyBorder="1" applyAlignment="1">
      <alignment vertical="center"/>
    </xf>
    <xf numFmtId="0" fontId="16" fillId="0" borderId="9" xfId="8" applyFont="1" applyBorder="1" applyAlignment="1">
      <alignment horizontal="right" vertical="center" indent="1"/>
    </xf>
    <xf numFmtId="0" fontId="16" fillId="9" borderId="13" xfId="8" applyFont="1" applyFill="1" applyBorder="1" applyAlignment="1">
      <alignment horizontal="right" vertical="center" indent="1"/>
    </xf>
    <xf numFmtId="165" fontId="68" fillId="0" borderId="0" xfId="8" applyNumberFormat="1" applyFont="1" applyProtection="1">
      <protection hidden="1"/>
    </xf>
    <xf numFmtId="181" fontId="67" fillId="0" borderId="0" xfId="8" applyNumberFormat="1" applyFont="1" applyAlignment="1">
      <alignment vertical="center"/>
    </xf>
    <xf numFmtId="0" fontId="16" fillId="0" borderId="13" xfId="8" applyFont="1" applyBorder="1" applyAlignment="1">
      <alignment horizontal="right" vertical="center" indent="1"/>
    </xf>
    <xf numFmtId="0" fontId="68" fillId="0" borderId="0" xfId="8" applyFont="1" applyProtection="1">
      <protection hidden="1"/>
    </xf>
    <xf numFmtId="0" fontId="16" fillId="9" borderId="0" xfId="8" applyFont="1" applyFill="1" applyAlignment="1">
      <alignment horizontal="left" vertical="center"/>
    </xf>
    <xf numFmtId="0" fontId="70" fillId="9" borderId="0" xfId="8" applyFont="1" applyFill="1" applyAlignment="1">
      <alignment horizontal="right" vertical="center"/>
    </xf>
    <xf numFmtId="0" fontId="35" fillId="9" borderId="0" xfId="8" applyFont="1" applyFill="1" applyAlignment="1">
      <alignment vertical="center"/>
    </xf>
    <xf numFmtId="167" fontId="19" fillId="17" borderId="36" xfId="3" applyNumberFormat="1" applyFont="1" applyFill="1" applyBorder="1" applyAlignment="1" applyProtection="1">
      <alignment horizontal="center" vertical="center"/>
      <protection hidden="1"/>
    </xf>
    <xf numFmtId="180" fontId="69" fillId="0" borderId="0" xfId="8" applyNumberFormat="1" applyFont="1" applyProtection="1">
      <protection hidden="1"/>
    </xf>
    <xf numFmtId="173" fontId="71" fillId="18" borderId="111" xfId="3" applyNumberFormat="1" applyFont="1" applyFill="1" applyBorder="1" applyAlignment="1" applyProtection="1">
      <alignment horizontal="center" vertical="center"/>
      <protection locked="0"/>
    </xf>
    <xf numFmtId="181" fontId="47" fillId="9" borderId="0" xfId="8" applyNumberFormat="1" applyFont="1" applyFill="1" applyAlignment="1">
      <alignment vertical="center"/>
    </xf>
    <xf numFmtId="0" fontId="29" fillId="0" borderId="0" xfId="8" applyFont="1"/>
    <xf numFmtId="0" fontId="72" fillId="0" borderId="0" xfId="8" applyFont="1"/>
    <xf numFmtId="0" fontId="73" fillId="0" borderId="0" xfId="8" applyFont="1"/>
    <xf numFmtId="180" fontId="22" fillId="17" borderId="36" xfId="8" quotePrefix="1" applyNumberFormat="1" applyFont="1" applyFill="1" applyBorder="1" applyAlignment="1" applyProtection="1">
      <alignment vertical="center"/>
      <protection hidden="1"/>
    </xf>
    <xf numFmtId="165" fontId="74" fillId="9" borderId="0" xfId="8" applyNumberFormat="1" applyFont="1" applyFill="1" applyAlignment="1" applyProtection="1">
      <alignment horizontal="left" vertical="center"/>
      <protection locked="0"/>
    </xf>
    <xf numFmtId="180" fontId="72" fillId="0" borderId="0" xfId="8" applyNumberFormat="1" applyFont="1"/>
    <xf numFmtId="0" fontId="16" fillId="9" borderId="0" xfId="8" applyFont="1" applyFill="1" applyAlignment="1">
      <alignment horizontal="left"/>
    </xf>
    <xf numFmtId="10" fontId="47" fillId="9" borderId="0" xfId="3" applyNumberFormat="1" applyFont="1" applyFill="1" applyBorder="1" applyAlignment="1" applyProtection="1">
      <alignment horizontal="center" vertical="center"/>
    </xf>
    <xf numFmtId="0" fontId="14" fillId="0" borderId="0" xfId="8" applyFont="1" applyAlignment="1">
      <alignment vertical="center"/>
    </xf>
    <xf numFmtId="181" fontId="49" fillId="0" borderId="0" xfId="8" applyNumberFormat="1" applyFont="1" applyAlignment="1">
      <alignment vertical="center"/>
    </xf>
    <xf numFmtId="0" fontId="16" fillId="0" borderId="14" xfId="8" applyFont="1" applyBorder="1"/>
    <xf numFmtId="0" fontId="14" fillId="0" borderId="15" xfId="8" applyFont="1" applyBorder="1" applyAlignment="1">
      <alignment vertical="center"/>
    </xf>
    <xf numFmtId="0" fontId="3" fillId="0" borderId="15" xfId="8" applyBorder="1"/>
    <xf numFmtId="181" fontId="49" fillId="0" borderId="15" xfId="8" applyNumberFormat="1" applyFont="1" applyBorder="1" applyAlignment="1">
      <alignment vertical="center"/>
    </xf>
    <xf numFmtId="0" fontId="16" fillId="0" borderId="18" xfId="8" applyFont="1" applyBorder="1" applyAlignment="1">
      <alignment horizontal="right" vertical="center" indent="1"/>
    </xf>
    <xf numFmtId="0" fontId="16" fillId="9" borderId="15" xfId="8" applyFont="1" applyFill="1" applyBorder="1"/>
    <xf numFmtId="0" fontId="16" fillId="9" borderId="15" xfId="8" applyFont="1" applyFill="1" applyBorder="1" applyAlignment="1">
      <alignment horizontal="left" vertical="center" indent="1"/>
    </xf>
    <xf numFmtId="0" fontId="3" fillId="9" borderId="15" xfId="8" applyFill="1" applyBorder="1"/>
    <xf numFmtId="0" fontId="16" fillId="9" borderId="18" xfId="8" applyFont="1" applyFill="1" applyBorder="1" applyAlignment="1">
      <alignment horizontal="right" vertical="center" indent="1"/>
    </xf>
    <xf numFmtId="0" fontId="14" fillId="9" borderId="0" xfId="8" quotePrefix="1" applyFont="1" applyFill="1" applyAlignment="1">
      <alignment vertical="center"/>
    </xf>
    <xf numFmtId="181" fontId="49" fillId="9" borderId="0" xfId="8" applyNumberFormat="1" applyFont="1" applyFill="1" applyAlignment="1">
      <alignment vertical="center"/>
    </xf>
    <xf numFmtId="0" fontId="16" fillId="9" borderId="0" xfId="8" applyFont="1" applyFill="1" applyAlignment="1" applyProtection="1">
      <alignment horizontal="left" indent="1"/>
      <protection hidden="1"/>
    </xf>
    <xf numFmtId="0" fontId="75" fillId="9" borderId="0" xfId="8" applyFont="1" applyFill="1" applyAlignment="1">
      <alignment horizontal="left" indent="1"/>
    </xf>
    <xf numFmtId="180" fontId="44" fillId="17" borderId="36" xfId="8" applyNumberFormat="1" applyFont="1" applyFill="1" applyBorder="1" applyAlignment="1" applyProtection="1">
      <alignment vertical="center"/>
      <protection hidden="1"/>
    </xf>
    <xf numFmtId="0" fontId="16" fillId="9" borderId="0" xfId="8" applyFont="1" applyFill="1" applyAlignment="1">
      <alignment horizontal="left" indent="1"/>
    </xf>
    <xf numFmtId="0" fontId="3" fillId="9" borderId="0" xfId="8" applyFill="1" applyProtection="1">
      <protection hidden="1"/>
    </xf>
    <xf numFmtId="165" fontId="7" fillId="20" borderId="36" xfId="8" applyNumberFormat="1" applyFont="1" applyFill="1" applyBorder="1" applyAlignment="1" applyProtection="1">
      <alignment vertical="center"/>
      <protection hidden="1"/>
    </xf>
    <xf numFmtId="0" fontId="76" fillId="9" borderId="13" xfId="8" applyFont="1" applyFill="1" applyBorder="1" applyAlignment="1">
      <alignment horizontal="left" vertical="center"/>
    </xf>
    <xf numFmtId="0" fontId="16" fillId="9" borderId="0" xfId="8" applyFont="1" applyFill="1" applyAlignment="1" applyProtection="1">
      <alignment horizontal="left"/>
      <protection hidden="1"/>
    </xf>
    <xf numFmtId="10" fontId="22" fillId="20" borderId="36" xfId="3" applyNumberFormat="1" applyFont="1" applyFill="1" applyBorder="1" applyAlignment="1" applyProtection="1">
      <alignment horizontal="center" vertical="center"/>
      <protection hidden="1"/>
    </xf>
    <xf numFmtId="173" fontId="7" fillId="20" borderId="36" xfId="8" applyNumberFormat="1" applyFont="1" applyFill="1" applyBorder="1" applyAlignment="1" applyProtection="1">
      <alignment vertical="center"/>
      <protection hidden="1"/>
    </xf>
    <xf numFmtId="0" fontId="16" fillId="9" borderId="32" xfId="8" applyFont="1" applyFill="1" applyBorder="1" applyAlignment="1">
      <alignment horizontal="left" indent="1"/>
    </xf>
    <xf numFmtId="0" fontId="16" fillId="9" borderId="32" xfId="8" applyFont="1" applyFill="1" applyBorder="1" applyAlignment="1">
      <alignment horizontal="left" vertical="center" indent="1"/>
    </xf>
    <xf numFmtId="0" fontId="3" fillId="9" borderId="32" xfId="8" applyFill="1" applyBorder="1"/>
    <xf numFmtId="0" fontId="16" fillId="9" borderId="33" xfId="8" applyFont="1" applyFill="1" applyBorder="1" applyAlignment="1">
      <alignment horizontal="right" vertical="center" indent="1"/>
    </xf>
    <xf numFmtId="0" fontId="32" fillId="0" borderId="0" xfId="8" applyFont="1"/>
    <xf numFmtId="0" fontId="14" fillId="0" borderId="29" xfId="8" applyFont="1" applyBorder="1" applyAlignment="1">
      <alignment vertical="center"/>
    </xf>
    <xf numFmtId="0" fontId="16" fillId="0" borderId="29" xfId="8" applyFont="1" applyBorder="1" applyAlignment="1">
      <alignment horizontal="left" vertical="center" indent="1"/>
    </xf>
    <xf numFmtId="0" fontId="3" fillId="0" borderId="29" xfId="8" applyBorder="1"/>
    <xf numFmtId="0" fontId="16" fillId="0" borderId="30" xfId="8" applyFont="1" applyBorder="1" applyAlignment="1">
      <alignment horizontal="right" vertical="center" indent="1"/>
    </xf>
    <xf numFmtId="0" fontId="16" fillId="9" borderId="28" xfId="8" applyFont="1" applyFill="1" applyBorder="1"/>
    <xf numFmtId="0" fontId="16" fillId="9" borderId="29" xfId="8" applyFont="1" applyFill="1" applyBorder="1" applyAlignment="1">
      <alignment horizontal="left" vertical="center" indent="1"/>
    </xf>
    <xf numFmtId="0" fontId="3" fillId="9" borderId="29" xfId="8" applyFill="1" applyBorder="1"/>
    <xf numFmtId="0" fontId="16" fillId="9" borderId="30" xfId="8" applyFont="1" applyFill="1" applyBorder="1" applyAlignment="1">
      <alignment horizontal="right" vertical="center" indent="1"/>
    </xf>
    <xf numFmtId="0" fontId="35" fillId="0" borderId="0" xfId="8" applyFont="1" applyAlignment="1" applyProtection="1">
      <alignment vertical="center"/>
      <protection hidden="1"/>
    </xf>
    <xf numFmtId="0" fontId="18" fillId="9" borderId="0" xfId="8" applyFont="1" applyFill="1" applyAlignment="1" applyProtection="1">
      <alignment horizontal="left" vertical="top"/>
      <protection hidden="1"/>
    </xf>
    <xf numFmtId="0" fontId="35" fillId="0" borderId="0" xfId="8" applyFont="1" applyAlignment="1">
      <alignment vertical="center"/>
    </xf>
    <xf numFmtId="166" fontId="22" fillId="17" borderId="36" xfId="8" applyNumberFormat="1" applyFont="1" applyFill="1" applyBorder="1" applyAlignment="1" applyProtection="1">
      <alignment vertical="center"/>
      <protection hidden="1"/>
    </xf>
    <xf numFmtId="0" fontId="35" fillId="0" borderId="0" xfId="8" applyFont="1" applyAlignment="1" applyProtection="1">
      <alignment horizontal="left" vertical="center" wrapText="1"/>
      <protection hidden="1"/>
    </xf>
    <xf numFmtId="0" fontId="77" fillId="9" borderId="0" xfId="8" applyFont="1" applyFill="1" applyAlignment="1" applyProtection="1">
      <alignment horizontal="left" vertical="center"/>
      <protection hidden="1"/>
    </xf>
    <xf numFmtId="165" fontId="71" fillId="17" borderId="36" xfId="8" applyNumberFormat="1" applyFont="1" applyFill="1" applyBorder="1" applyAlignment="1" applyProtection="1">
      <alignment vertical="center"/>
      <protection hidden="1"/>
    </xf>
    <xf numFmtId="0" fontId="32" fillId="0" borderId="0" xfId="8" applyFont="1" applyProtection="1">
      <protection hidden="1"/>
    </xf>
    <xf numFmtId="0" fontId="5" fillId="9" borderId="0" xfId="8" applyFont="1" applyFill="1" applyAlignment="1" applyProtection="1">
      <alignment horizontal="left" vertical="top" indent="1"/>
      <protection hidden="1"/>
    </xf>
    <xf numFmtId="166" fontId="3" fillId="9" borderId="0" xfId="8" applyNumberFormat="1" applyFill="1"/>
    <xf numFmtId="0" fontId="76" fillId="9" borderId="13" xfId="8" applyFont="1" applyFill="1" applyBorder="1" applyAlignment="1">
      <alignment horizontal="center" vertical="center"/>
    </xf>
    <xf numFmtId="0" fontId="70" fillId="0" borderId="0" xfId="8" applyFont="1" applyProtection="1">
      <protection hidden="1"/>
    </xf>
    <xf numFmtId="166" fontId="7" fillId="20" borderId="36" xfId="8" applyNumberFormat="1" applyFont="1" applyFill="1" applyBorder="1" applyAlignment="1" applyProtection="1">
      <alignment vertical="center"/>
      <protection hidden="1"/>
    </xf>
    <xf numFmtId="0" fontId="5" fillId="0" borderId="32" xfId="8" applyFont="1" applyBorder="1"/>
    <xf numFmtId="0" fontId="16" fillId="0" borderId="32" xfId="8" applyFont="1" applyBorder="1" applyAlignment="1">
      <alignment horizontal="left" vertical="center" indent="1"/>
    </xf>
    <xf numFmtId="0" fontId="3" fillId="0" borderId="32" xfId="8" applyBorder="1"/>
    <xf numFmtId="0" fontId="16" fillId="0" borderId="33" xfId="8" applyFont="1" applyBorder="1" applyAlignment="1">
      <alignment horizontal="right" vertical="center" indent="1"/>
    </xf>
    <xf numFmtId="0" fontId="62" fillId="0" borderId="0" xfId="8" applyFont="1"/>
    <xf numFmtId="176" fontId="34" fillId="0" borderId="29" xfId="0" applyNumberFormat="1" applyFont="1" applyBorder="1" applyAlignment="1" applyProtection="1">
      <alignment horizontal="left"/>
      <protection hidden="1"/>
    </xf>
    <xf numFmtId="0" fontId="62" fillId="0" borderId="0" xfId="8" applyFont="1" applyAlignment="1">
      <alignment horizontal="center"/>
    </xf>
    <xf numFmtId="0" fontId="78" fillId="0" borderId="0" xfId="8" applyFont="1" applyAlignment="1">
      <alignment horizontal="left" vertical="center" indent="1"/>
    </xf>
    <xf numFmtId="0" fontId="79" fillId="0" borderId="0" xfId="8" applyFont="1"/>
    <xf numFmtId="44" fontId="79" fillId="0" borderId="0" xfId="2" applyFont="1" applyAlignment="1" applyProtection="1">
      <alignment horizontal="center"/>
    </xf>
    <xf numFmtId="0" fontId="80" fillId="0" borderId="0" xfId="8" applyFont="1" applyAlignment="1">
      <alignment horizontal="left" vertical="center" indent="1"/>
    </xf>
    <xf numFmtId="0" fontId="81" fillId="0" borderId="0" xfId="8" applyFont="1" applyProtection="1">
      <protection hidden="1"/>
    </xf>
    <xf numFmtId="175" fontId="68" fillId="0" borderId="0" xfId="2" applyNumberFormat="1" applyFont="1" applyFill="1" applyBorder="1" applyAlignment="1" applyProtection="1">
      <alignment horizontal="center"/>
    </xf>
    <xf numFmtId="44" fontId="68" fillId="0" borderId="0" xfId="2" applyFont="1" applyFill="1" applyAlignment="1" applyProtection="1">
      <alignment horizontal="center"/>
    </xf>
    <xf numFmtId="10" fontId="68" fillId="0" borderId="0" xfId="3" applyNumberFormat="1" applyFont="1" applyFill="1" applyProtection="1">
      <protection hidden="1"/>
    </xf>
    <xf numFmtId="10" fontId="68" fillId="0" borderId="0" xfId="3" applyNumberFormat="1" applyFont="1" applyFill="1" applyProtection="1"/>
    <xf numFmtId="44" fontId="62" fillId="0" borderId="0" xfId="2" applyFont="1" applyFill="1" applyAlignment="1" applyProtection="1">
      <alignment horizontal="center"/>
    </xf>
    <xf numFmtId="0" fontId="68" fillId="0" borderId="0" xfId="8" applyFont="1" applyAlignment="1">
      <alignment horizontal="right"/>
    </xf>
    <xf numFmtId="166" fontId="68" fillId="0" borderId="0" xfId="8" applyNumberFormat="1" applyFont="1"/>
    <xf numFmtId="175" fontId="62" fillId="0" borderId="0" xfId="2" applyNumberFormat="1" applyFont="1" applyFill="1" applyBorder="1" applyAlignment="1" applyProtection="1">
      <alignment horizontal="center"/>
    </xf>
    <xf numFmtId="44" fontId="62" fillId="0" borderId="0" xfId="2" applyFont="1" applyAlignment="1" applyProtection="1">
      <alignment horizontal="center"/>
    </xf>
    <xf numFmtId="175" fontId="79" fillId="0" borderId="0" xfId="2" applyNumberFormat="1" applyFont="1" applyFill="1" applyBorder="1" applyAlignment="1" applyProtection="1">
      <alignment horizontal="center"/>
    </xf>
    <xf numFmtId="6" fontId="80" fillId="0" borderId="0" xfId="8" applyNumberFormat="1" applyFont="1" applyAlignment="1">
      <alignment horizontal="right" wrapText="1"/>
    </xf>
    <xf numFmtId="0" fontId="79" fillId="0" borderId="112" xfId="8" applyFont="1" applyBorder="1" applyAlignment="1">
      <alignment horizontal="left" indent="1"/>
    </xf>
    <xf numFmtId="0" fontId="79" fillId="0" borderId="113" xfId="8" applyFont="1" applyBorder="1" applyAlignment="1">
      <alignment horizontal="left" indent="1"/>
    </xf>
    <xf numFmtId="0" fontId="79" fillId="0" borderId="114" xfId="8" applyFont="1" applyBorder="1" applyAlignment="1">
      <alignment horizontal="left" indent="1"/>
    </xf>
    <xf numFmtId="0" fontId="3" fillId="0" borderId="35" xfId="8" applyBorder="1"/>
    <xf numFmtId="0" fontId="14" fillId="9" borderId="6" xfId="8" applyFont="1" applyFill="1" applyBorder="1"/>
    <xf numFmtId="0" fontId="82" fillId="9" borderId="6" xfId="8" applyFont="1" applyFill="1" applyBorder="1"/>
    <xf numFmtId="0" fontId="83" fillId="9" borderId="6" xfId="8" applyFont="1" applyFill="1" applyBorder="1" applyAlignment="1" applyProtection="1">
      <alignment horizontal="center"/>
      <protection hidden="1"/>
    </xf>
    <xf numFmtId="0" fontId="82" fillId="9" borderId="9" xfId="8" applyFont="1" applyFill="1" applyBorder="1"/>
    <xf numFmtId="0" fontId="84" fillId="9" borderId="0" xfId="8" applyFont="1" applyFill="1" applyAlignment="1" applyProtection="1">
      <alignment vertical="center"/>
      <protection hidden="1"/>
    </xf>
    <xf numFmtId="10" fontId="85" fillId="9" borderId="36" xfId="3" applyNumberFormat="1" applyFont="1" applyFill="1" applyBorder="1" applyAlignment="1" applyProtection="1">
      <alignment horizontal="center" vertical="center"/>
      <protection hidden="1"/>
    </xf>
    <xf numFmtId="0" fontId="82" fillId="9" borderId="0" xfId="8" applyFont="1" applyFill="1"/>
    <xf numFmtId="180" fontId="85" fillId="9" borderId="36" xfId="8" applyNumberFormat="1" applyFont="1" applyFill="1" applyBorder="1" applyAlignment="1" applyProtection="1">
      <alignment vertical="center"/>
      <protection hidden="1"/>
    </xf>
    <xf numFmtId="0" fontId="82" fillId="9" borderId="13" xfId="8" applyFont="1" applyFill="1" applyBorder="1"/>
    <xf numFmtId="0" fontId="83" fillId="9" borderId="0" xfId="8" applyFont="1" applyFill="1" applyAlignment="1" applyProtection="1">
      <alignment horizontal="left" vertical="top" indent="1"/>
      <protection hidden="1"/>
    </xf>
    <xf numFmtId="0" fontId="86" fillId="9" borderId="0" xfId="8" applyFont="1" applyFill="1" applyAlignment="1">
      <alignment vertical="center"/>
    </xf>
    <xf numFmtId="181" fontId="86" fillId="9" borderId="0" xfId="8" applyNumberFormat="1" applyFont="1" applyFill="1" applyAlignment="1">
      <alignment vertical="center"/>
    </xf>
    <xf numFmtId="0" fontId="22" fillId="18" borderId="36" xfId="3" applyNumberFormat="1" applyFont="1" applyFill="1" applyBorder="1" applyAlignment="1" applyProtection="1">
      <alignment horizontal="center" vertical="center"/>
      <protection locked="0"/>
    </xf>
    <xf numFmtId="0" fontId="68" fillId="0" borderId="0" xfId="8" quotePrefix="1" applyFont="1"/>
    <xf numFmtId="0" fontId="84" fillId="9" borderId="0" xfId="8" applyFont="1" applyFill="1" applyAlignment="1" applyProtection="1">
      <alignment horizontal="left" vertical="center" indent="1"/>
      <protection hidden="1"/>
    </xf>
    <xf numFmtId="10" fontId="85" fillId="9" borderId="0" xfId="3" applyNumberFormat="1" applyFont="1" applyFill="1" applyBorder="1" applyAlignment="1" applyProtection="1">
      <alignment horizontal="center" vertical="center"/>
    </xf>
    <xf numFmtId="0" fontId="69" fillId="0" borderId="0" xfId="8" applyFont="1" applyProtection="1">
      <protection hidden="1"/>
    </xf>
    <xf numFmtId="9" fontId="16" fillId="9" borderId="0" xfId="3" applyFont="1" applyFill="1" applyBorder="1" applyAlignment="1" applyProtection="1">
      <alignment vertical="center"/>
    </xf>
    <xf numFmtId="43" fontId="68" fillId="0" borderId="0" xfId="1" applyFont="1" applyFill="1" applyProtection="1">
      <protection hidden="1"/>
    </xf>
    <xf numFmtId="0" fontId="35" fillId="9" borderId="0" xfId="8" applyFont="1" applyFill="1" applyAlignment="1" applyProtection="1">
      <alignment horizontal="right" vertical="center" indent="1"/>
      <protection hidden="1"/>
    </xf>
    <xf numFmtId="181" fontId="67" fillId="0" borderId="6" xfId="8" applyNumberFormat="1" applyFont="1" applyBorder="1" applyAlignment="1">
      <alignment vertical="center"/>
    </xf>
    <xf numFmtId="182" fontId="68" fillId="0" borderId="0" xfId="8" applyNumberFormat="1" applyFont="1" applyProtection="1">
      <protection hidden="1"/>
    </xf>
    <xf numFmtId="0" fontId="29" fillId="0" borderId="0" xfId="8" applyFont="1" applyProtection="1">
      <protection hidden="1"/>
    </xf>
    <xf numFmtId="182" fontId="72" fillId="0" borderId="0" xfId="8" applyNumberFormat="1" applyFont="1" applyProtection="1">
      <protection hidden="1"/>
    </xf>
    <xf numFmtId="0" fontId="72" fillId="0" borderId="0" xfId="8" applyFont="1" applyProtection="1">
      <protection hidden="1"/>
    </xf>
    <xf numFmtId="165" fontId="72" fillId="0" borderId="0" xfId="8" applyNumberFormat="1" applyFont="1" applyProtection="1">
      <protection hidden="1"/>
    </xf>
    <xf numFmtId="10" fontId="22" fillId="9" borderId="0" xfId="3" applyNumberFormat="1" applyFont="1" applyFill="1" applyBorder="1" applyAlignment="1" applyProtection="1">
      <alignment horizontal="center" vertical="center"/>
      <protection hidden="1"/>
    </xf>
    <xf numFmtId="169" fontId="72" fillId="0" borderId="0" xfId="8" applyNumberFormat="1" applyFont="1" applyProtection="1">
      <protection hidden="1"/>
    </xf>
    <xf numFmtId="10" fontId="22" fillId="9" borderId="0" xfId="3" applyNumberFormat="1" applyFont="1" applyFill="1" applyBorder="1" applyAlignment="1" applyProtection="1">
      <alignment horizontal="left" vertical="center"/>
      <protection hidden="1"/>
    </xf>
    <xf numFmtId="165" fontId="7" fillId="20" borderId="0" xfId="8" applyNumberFormat="1" applyFont="1" applyFill="1" applyAlignment="1" applyProtection="1">
      <alignment vertical="center"/>
      <protection hidden="1"/>
    </xf>
    <xf numFmtId="0" fontId="87" fillId="9" borderId="0" xfId="8" applyFont="1" applyFill="1" applyAlignment="1" applyProtection="1">
      <alignment vertical="top"/>
      <protection hidden="1"/>
    </xf>
    <xf numFmtId="0" fontId="14" fillId="9" borderId="0" xfId="8" applyFont="1" applyFill="1" applyAlignment="1" applyProtection="1">
      <alignment horizontal="left" vertical="center"/>
      <protection hidden="1"/>
    </xf>
    <xf numFmtId="165" fontId="22" fillId="17" borderId="36" xfId="8" applyNumberFormat="1" applyFont="1" applyFill="1" applyBorder="1" applyAlignment="1" applyProtection="1">
      <alignment vertical="center"/>
      <protection hidden="1"/>
    </xf>
    <xf numFmtId="165" fontId="72" fillId="0" borderId="0" xfId="8" applyNumberFormat="1" applyFont="1"/>
    <xf numFmtId="0" fontId="35" fillId="0" borderId="32" xfId="8" applyFont="1" applyBorder="1" applyAlignment="1" applyProtection="1">
      <alignment horizontal="left" vertical="top"/>
      <protection hidden="1"/>
    </xf>
    <xf numFmtId="0" fontId="88" fillId="0" borderId="29" xfId="0" applyFont="1" applyBorder="1" applyAlignment="1">
      <alignment horizontal="left"/>
    </xf>
    <xf numFmtId="0" fontId="72" fillId="0" borderId="0" xfId="0" applyFont="1"/>
    <xf numFmtId="0" fontId="29" fillId="0" borderId="0" xfId="0" applyFont="1" applyAlignment="1">
      <alignment horizontal="left" vertical="center" indent="1"/>
    </xf>
    <xf numFmtId="44" fontId="72" fillId="0" borderId="0" xfId="2" applyFont="1" applyAlignment="1" applyProtection="1">
      <alignment horizontal="center"/>
      <protection hidden="1"/>
    </xf>
    <xf numFmtId="0" fontId="29" fillId="0" borderId="0" xfId="8" applyFont="1" applyAlignment="1" applyProtection="1">
      <alignment horizontal="left" vertical="center" indent="1"/>
      <protection hidden="1"/>
    </xf>
    <xf numFmtId="0" fontId="73" fillId="0" borderId="0" xfId="8" applyFont="1" applyProtection="1">
      <protection hidden="1"/>
    </xf>
    <xf numFmtId="175" fontId="72" fillId="0" borderId="0" xfId="2" applyNumberFormat="1" applyFont="1" applyFill="1" applyBorder="1" applyAlignment="1" applyProtection="1">
      <alignment horizontal="center"/>
      <protection hidden="1"/>
    </xf>
    <xf numFmtId="44" fontId="72" fillId="0" borderId="0" xfId="2" applyFont="1" applyFill="1" applyAlignment="1" applyProtection="1">
      <alignment horizontal="center"/>
      <protection hidden="1"/>
    </xf>
    <xf numFmtId="183" fontId="72" fillId="0" borderId="0" xfId="8" applyNumberFormat="1" applyFont="1" applyAlignment="1" applyProtection="1">
      <alignment horizontal="center"/>
      <protection hidden="1"/>
    </xf>
    <xf numFmtId="6" fontId="29" fillId="0" borderId="0" xfId="8" applyNumberFormat="1" applyFont="1" applyAlignment="1" applyProtection="1">
      <alignment horizontal="right" wrapText="1"/>
      <protection hidden="1"/>
    </xf>
    <xf numFmtId="10" fontId="72" fillId="0" borderId="0" xfId="3" applyNumberFormat="1" applyFont="1" applyFill="1" applyProtection="1">
      <protection hidden="1"/>
    </xf>
    <xf numFmtId="0" fontId="72" fillId="0" borderId="0" xfId="8" applyFont="1" applyAlignment="1" applyProtection="1">
      <alignment horizontal="right"/>
      <protection hidden="1"/>
    </xf>
    <xf numFmtId="10" fontId="72" fillId="0" borderId="0" xfId="3" applyNumberFormat="1" applyFont="1" applyProtection="1">
      <protection hidden="1"/>
    </xf>
    <xf numFmtId="166" fontId="72" fillId="0" borderId="0" xfId="8" applyNumberFormat="1" applyFont="1" applyProtection="1">
      <protection hidden="1"/>
    </xf>
    <xf numFmtId="0" fontId="79" fillId="0" borderId="0" xfId="8" applyFont="1" applyProtection="1">
      <protection hidden="1"/>
    </xf>
    <xf numFmtId="0" fontId="62" fillId="0" borderId="0" xfId="8" applyFont="1" applyProtection="1">
      <protection hidden="1"/>
    </xf>
    <xf numFmtId="0" fontId="14" fillId="0" borderId="115" xfId="8" applyFont="1" applyBorder="1" applyAlignment="1">
      <alignment horizontal="center" vertical="top" wrapText="1"/>
    </xf>
    <xf numFmtId="0" fontId="14" fillId="0" borderId="116" xfId="8" applyFont="1" applyBorder="1" applyAlignment="1">
      <alignment horizontal="center" wrapText="1"/>
    </xf>
    <xf numFmtId="0" fontId="14" fillId="0" borderId="116" xfId="8" applyFont="1" applyBorder="1" applyAlignment="1">
      <alignment horizontal="center" vertical="top" wrapText="1"/>
    </xf>
    <xf numFmtId="0" fontId="14" fillId="0" borderId="117" xfId="8" applyFont="1" applyBorder="1" applyAlignment="1">
      <alignment horizontal="center" vertical="top" wrapText="1"/>
    </xf>
    <xf numFmtId="0" fontId="16" fillId="0" borderId="118" xfId="8" applyFont="1" applyBorder="1" applyAlignment="1">
      <alignment horizontal="center" wrapText="1"/>
    </xf>
    <xf numFmtId="165" fontId="16" fillId="0" borderId="118" xfId="8" applyNumberFormat="1" applyFont="1" applyBorder="1" applyAlignment="1">
      <alignment horizontal="right" wrapText="1"/>
    </xf>
    <xf numFmtId="165" fontId="16" fillId="0" borderId="118" xfId="2" applyNumberFormat="1" applyFont="1" applyBorder="1" applyAlignment="1">
      <alignment horizontal="right" wrapText="1"/>
    </xf>
    <xf numFmtId="165" fontId="16" fillId="0" borderId="119" xfId="2" applyNumberFormat="1" applyFont="1" applyBorder="1" applyAlignment="1">
      <alignment horizontal="right" wrapText="1"/>
    </xf>
    <xf numFmtId="0" fontId="16" fillId="0" borderId="119" xfId="8" applyFont="1" applyBorder="1" applyAlignment="1">
      <alignment horizontal="center" wrapText="1"/>
    </xf>
    <xf numFmtId="165" fontId="16" fillId="0" borderId="119" xfId="8" applyNumberFormat="1" applyFont="1" applyBorder="1" applyAlignment="1">
      <alignment horizontal="right" wrapText="1"/>
    </xf>
    <xf numFmtId="173" fontId="16" fillId="0" borderId="119" xfId="8" applyNumberFormat="1" applyFont="1" applyBorder="1" applyAlignment="1">
      <alignment horizontal="center" wrapText="1"/>
    </xf>
    <xf numFmtId="10" fontId="16" fillId="0" borderId="0" xfId="3" applyNumberFormat="1" applyFont="1"/>
    <xf numFmtId="186" fontId="16" fillId="0" borderId="0" xfId="3" applyNumberFormat="1" applyFont="1"/>
    <xf numFmtId="165" fontId="16" fillId="10" borderId="119" xfId="8" applyNumberFormat="1" applyFont="1" applyFill="1" applyBorder="1" applyAlignment="1">
      <alignment horizontal="right" wrapText="1"/>
    </xf>
    <xf numFmtId="165" fontId="16" fillId="10" borderId="119" xfId="2" applyNumberFormat="1" applyFont="1" applyFill="1" applyBorder="1" applyAlignment="1">
      <alignment horizontal="right" wrapText="1"/>
    </xf>
    <xf numFmtId="173" fontId="16" fillId="0" borderId="120" xfId="8" applyNumberFormat="1" applyFont="1" applyBorder="1" applyAlignment="1">
      <alignment horizontal="center" wrapText="1"/>
    </xf>
    <xf numFmtId="165" fontId="16" fillId="10" borderId="120" xfId="8" applyNumberFormat="1" applyFont="1" applyFill="1" applyBorder="1" applyAlignment="1">
      <alignment horizontal="right" wrapText="1"/>
    </xf>
    <xf numFmtId="165" fontId="16" fillId="10" borderId="120" xfId="2" applyNumberFormat="1" applyFont="1" applyFill="1" applyBorder="1" applyAlignment="1">
      <alignment horizontal="right" wrapText="1"/>
    </xf>
    <xf numFmtId="165" fontId="16" fillId="0" borderId="120" xfId="8" applyNumberFormat="1" applyFont="1" applyBorder="1" applyAlignment="1">
      <alignment horizontal="right" wrapText="1"/>
    </xf>
    <xf numFmtId="165" fontId="16" fillId="0" borderId="120" xfId="2" applyNumberFormat="1" applyFont="1" applyBorder="1" applyAlignment="1">
      <alignment horizontal="right" wrapText="1"/>
    </xf>
    <xf numFmtId="165" fontId="16" fillId="0" borderId="120" xfId="2" applyNumberFormat="1" applyFont="1" applyFill="1" applyBorder="1" applyAlignment="1">
      <alignment horizontal="right" wrapText="1"/>
    </xf>
    <xf numFmtId="165" fontId="3" fillId="0" borderId="0" xfId="8" applyNumberFormat="1" applyAlignment="1">
      <alignment horizontal="right"/>
    </xf>
    <xf numFmtId="165" fontId="4" fillId="0" borderId="0" xfId="8" applyNumberFormat="1" applyFont="1" applyAlignment="1">
      <alignment horizontal="right"/>
    </xf>
    <xf numFmtId="165" fontId="3" fillId="10" borderId="121" xfId="8" applyNumberFormat="1" applyFill="1" applyBorder="1" applyAlignment="1">
      <alignment horizontal="center"/>
    </xf>
    <xf numFmtId="172" fontId="3" fillId="0" borderId="121" xfId="8" applyNumberFormat="1" applyBorder="1"/>
    <xf numFmtId="0" fontId="16" fillId="0" borderId="0" xfId="8" applyFont="1" applyAlignment="1">
      <alignment horizontal="center"/>
    </xf>
    <xf numFmtId="165" fontId="14" fillId="0" borderId="116" xfId="8" applyNumberFormat="1" applyFont="1" applyBorder="1" applyAlignment="1">
      <alignment horizontal="center" wrapText="1"/>
    </xf>
    <xf numFmtId="165" fontId="14" fillId="0" borderId="116" xfId="8" applyNumberFormat="1" applyFont="1" applyBorder="1" applyAlignment="1">
      <alignment horizontal="center" vertical="top" wrapText="1"/>
    </xf>
    <xf numFmtId="165" fontId="14" fillId="0" borderId="117" xfId="8" applyNumberFormat="1" applyFont="1" applyBorder="1" applyAlignment="1">
      <alignment horizontal="center" vertical="top" wrapText="1"/>
    </xf>
    <xf numFmtId="173" fontId="16" fillId="0" borderId="118" xfId="8" applyNumberFormat="1" applyFont="1" applyBorder="1" applyAlignment="1">
      <alignment horizontal="center" wrapText="1"/>
    </xf>
    <xf numFmtId="165" fontId="16" fillId="0" borderId="0" xfId="8" applyNumberFormat="1" applyFont="1" applyAlignment="1">
      <alignment horizontal="right" wrapText="1"/>
    </xf>
    <xf numFmtId="172" fontId="16" fillId="0" borderId="0" xfId="8" applyNumberFormat="1" applyFont="1"/>
    <xf numFmtId="165" fontId="16" fillId="21" borderId="122" xfId="8" applyNumberFormat="1" applyFont="1" applyFill="1" applyBorder="1"/>
    <xf numFmtId="165" fontId="16" fillId="21" borderId="122" xfId="8" applyNumberFormat="1" applyFont="1" applyFill="1" applyBorder="1" applyAlignment="1">
      <alignment horizontal="right"/>
    </xf>
    <xf numFmtId="165" fontId="16" fillId="21" borderId="117" xfId="8" applyNumberFormat="1" applyFont="1" applyFill="1" applyBorder="1" applyAlignment="1">
      <alignment horizontal="right" wrapText="1"/>
    </xf>
    <xf numFmtId="165" fontId="16" fillId="16" borderId="123" xfId="8" applyNumberFormat="1" applyFont="1" applyFill="1" applyBorder="1"/>
    <xf numFmtId="10" fontId="16" fillId="16" borderId="124" xfId="3" applyNumberFormat="1" applyFont="1" applyFill="1" applyBorder="1" applyAlignment="1">
      <alignment horizontal="center"/>
    </xf>
    <xf numFmtId="10" fontId="16" fillId="0" borderId="125" xfId="3" applyNumberFormat="1" applyFont="1" applyBorder="1"/>
    <xf numFmtId="165" fontId="16" fillId="0" borderId="0" xfId="8" applyNumberFormat="1" applyFont="1"/>
    <xf numFmtId="172" fontId="3" fillId="0" borderId="0" xfId="8" applyNumberFormat="1"/>
    <xf numFmtId="0" fontId="5" fillId="0" borderId="23" xfId="8" applyFont="1" applyBorder="1" applyAlignment="1">
      <alignment horizontal="center"/>
    </xf>
    <xf numFmtId="165" fontId="5" fillId="0" borderId="0" xfId="8" applyNumberFormat="1" applyFont="1"/>
    <xf numFmtId="181" fontId="4" fillId="0" borderId="2" xfId="8" applyNumberFormat="1" applyFont="1" applyBorder="1" applyAlignment="1">
      <alignment horizontal="center"/>
    </xf>
    <xf numFmtId="0" fontId="38" fillId="0" borderId="0" xfId="8" applyFont="1"/>
    <xf numFmtId="0" fontId="3" fillId="22" borderId="0" xfId="8" applyFill="1"/>
    <xf numFmtId="0" fontId="3" fillId="23" borderId="0" xfId="8" applyFill="1"/>
    <xf numFmtId="0" fontId="3" fillId="24" borderId="0" xfId="8" applyFill="1"/>
    <xf numFmtId="0" fontId="3" fillId="25" borderId="0" xfId="8" applyFill="1"/>
    <xf numFmtId="0" fontId="3" fillId="21" borderId="2" xfId="8" applyFill="1" applyBorder="1" applyAlignment="1">
      <alignment horizontal="center"/>
    </xf>
    <xf numFmtId="181" fontId="3" fillId="26" borderId="2" xfId="8" applyNumberFormat="1" applyFill="1" applyBorder="1" applyAlignment="1">
      <alignment horizontal="center"/>
    </xf>
    <xf numFmtId="165" fontId="3" fillId="0" borderId="2" xfId="8" applyNumberFormat="1" applyBorder="1"/>
    <xf numFmtId="165" fontId="3" fillId="21" borderId="2" xfId="8" applyNumberFormat="1" applyFill="1" applyBorder="1"/>
    <xf numFmtId="0" fontId="4" fillId="0" borderId="2" xfId="8" applyFont="1" applyBorder="1" applyAlignment="1">
      <alignment horizontal="center" vertical="center"/>
    </xf>
    <xf numFmtId="0" fontId="3" fillId="22" borderId="0" xfId="8" applyFill="1" applyAlignment="1">
      <alignment vertical="center"/>
    </xf>
    <xf numFmtId="0" fontId="3" fillId="23" borderId="0" xfId="8" applyFill="1" applyAlignment="1">
      <alignment vertical="center"/>
    </xf>
    <xf numFmtId="0" fontId="3" fillId="24" borderId="0" xfId="8" applyFill="1" applyAlignment="1">
      <alignment vertical="center"/>
    </xf>
    <xf numFmtId="0" fontId="3" fillId="25" borderId="0" xfId="8" applyFill="1" applyAlignment="1">
      <alignment vertical="center"/>
    </xf>
    <xf numFmtId="0" fontId="4" fillId="0" borderId="2" xfId="8" applyFont="1" applyBorder="1" applyAlignment="1">
      <alignment horizontal="left" vertical="center" indent="1"/>
    </xf>
    <xf numFmtId="181" fontId="3" fillId="0" borderId="2" xfId="8" applyNumberFormat="1" applyBorder="1" applyAlignment="1">
      <alignment vertical="center"/>
    </xf>
    <xf numFmtId="181" fontId="3" fillId="21" borderId="2" xfId="8" applyNumberFormat="1" applyFill="1" applyBorder="1" applyAlignment="1">
      <alignment vertical="center"/>
    </xf>
    <xf numFmtId="0" fontId="89" fillId="0" borderId="0" xfId="12" applyAlignment="1">
      <alignment vertical="center"/>
    </xf>
    <xf numFmtId="0" fontId="3" fillId="22" borderId="23" xfId="8" applyFill="1" applyBorder="1"/>
    <xf numFmtId="0" fontId="3" fillId="23" borderId="23" xfId="8" applyFill="1" applyBorder="1"/>
    <xf numFmtId="0" fontId="3" fillId="24" borderId="23" xfId="8" applyFill="1" applyBorder="1"/>
    <xf numFmtId="0" fontId="3" fillId="25" borderId="23" xfId="8" applyFill="1" applyBorder="1"/>
    <xf numFmtId="165" fontId="39" fillId="0" borderId="0" xfId="8" applyNumberFormat="1" applyFont="1"/>
    <xf numFmtId="0" fontId="3" fillId="0" borderId="0" xfId="8" applyAlignment="1">
      <alignment horizontal="center"/>
    </xf>
    <xf numFmtId="181" fontId="3" fillId="21" borderId="2" xfId="8" applyNumberFormat="1" applyFill="1" applyBorder="1"/>
    <xf numFmtId="181" fontId="3" fillId="0" borderId="0" xfId="8" applyNumberFormat="1"/>
    <xf numFmtId="173" fontId="3" fillId="0" borderId="0" xfId="8" applyNumberFormat="1"/>
    <xf numFmtId="44" fontId="3" fillId="0" borderId="0" xfId="2" applyFont="1"/>
    <xf numFmtId="172" fontId="3" fillId="0" borderId="23" xfId="8" applyNumberFormat="1" applyBorder="1"/>
    <xf numFmtId="181" fontId="3" fillId="27" borderId="2" xfId="8" applyNumberFormat="1" applyFill="1" applyBorder="1"/>
    <xf numFmtId="165" fontId="3" fillId="28" borderId="0" xfId="8" applyNumberFormat="1" applyFill="1"/>
    <xf numFmtId="181" fontId="3" fillId="28" borderId="0" xfId="8" applyNumberFormat="1" applyFill="1"/>
    <xf numFmtId="169" fontId="3" fillId="0" borderId="0" xfId="8" applyNumberFormat="1"/>
    <xf numFmtId="171" fontId="3" fillId="0" borderId="0" xfId="1" applyNumberFormat="1" applyFont="1"/>
    <xf numFmtId="44" fontId="3" fillId="0" borderId="0" xfId="2"/>
  </cellXfs>
  <cellStyles count="13">
    <cellStyle name="Comma" xfId="1" builtinId="3"/>
    <cellStyle name="Comma 2" xfId="7" xr:uid="{21916A0F-6D16-479B-91DD-F5112FB7EAC5}"/>
    <cellStyle name="Comma 3" xfId="10" xr:uid="{1A49E1EB-9BF6-48B5-80A0-FA2BEC49A453}"/>
    <cellStyle name="Currency" xfId="2" builtinId="4"/>
    <cellStyle name="Currency 2" xfId="11" xr:uid="{D2722C6A-6C1C-402C-8CB9-0F899E6C364F}"/>
    <cellStyle name="Hyperlink" xfId="12" builtinId="8"/>
    <cellStyle name="Normal" xfId="0" builtinId="0"/>
    <cellStyle name="Normal 2" xfId="5" xr:uid="{C4000335-A3D1-4133-8DCE-D111CE7C9182}"/>
    <cellStyle name="Normal 3" xfId="9" xr:uid="{3F24914F-4E8A-4A90-9768-A5528248A0A5}"/>
    <cellStyle name="Normal 4" xfId="8" xr:uid="{65DC854F-BD86-494F-8C80-7DF7CF22B6B9}"/>
    <cellStyle name="Output" xfId="4" builtinId="21"/>
    <cellStyle name="Percent" xfId="3" builtinId="5"/>
    <cellStyle name="Percent 2" xfId="6" xr:uid="{8416EFCC-7E64-4C58-88C4-E0F9626FB94A}"/>
  </cellStyles>
  <dxfs count="312">
    <dxf>
      <fill>
        <patternFill>
          <bgColor theme="0" tint="-4.9989318521683403E-2"/>
        </patternFill>
      </fill>
    </dxf>
    <dxf>
      <fill>
        <patternFill>
          <bgColor theme="0" tint="-4.9989318521683403E-2"/>
        </patternFill>
      </fill>
    </dxf>
    <dxf>
      <font>
        <color theme="0" tint="-4.9989318521683403E-2"/>
      </font>
      <fill>
        <patternFill>
          <bgColor theme="0" tint="-4.9989318521683403E-2"/>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644B"/>
        </patternFill>
      </fill>
    </dxf>
    <dxf>
      <font>
        <color theme="0"/>
      </font>
      <fill>
        <patternFill>
          <bgColor rgb="FF0DD1BF"/>
        </patternFill>
      </fill>
    </dxf>
    <dxf>
      <font>
        <color theme="0"/>
      </font>
      <fill>
        <patternFill>
          <bgColor rgb="FF003399"/>
        </patternFill>
      </fill>
    </dxf>
    <dxf>
      <font>
        <color theme="0"/>
      </font>
      <fill>
        <patternFill>
          <bgColor rgb="FFF79550"/>
        </patternFill>
      </fill>
    </dxf>
    <dxf>
      <fill>
        <patternFill>
          <bgColor rgb="FFCCC0DA"/>
        </patternFill>
      </fill>
      <border>
        <left/>
        <right/>
        <top/>
        <bottom/>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top/>
        <bottom/>
        <vertical/>
        <horizontal/>
      </border>
    </dxf>
    <dxf>
      <font>
        <color theme="0" tint="-4.9989318521683403E-2"/>
      </font>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rgb="FFFF0000"/>
        </patternFill>
      </fill>
    </dxf>
    <dxf>
      <fill>
        <patternFill>
          <bgColor rgb="FFFF0000"/>
        </patternFill>
      </fill>
    </dxf>
    <dxf>
      <fill>
        <patternFill>
          <bgColor theme="0"/>
        </patternFill>
      </fill>
    </dxf>
    <dxf>
      <font>
        <color rgb="FFF2F2F2"/>
      </font>
      <fill>
        <patternFill>
          <bgColor rgb="FFF2F2F2"/>
        </patternFill>
      </fill>
    </dxf>
    <dxf>
      <fill>
        <patternFill>
          <bgColor rgb="FFF2F2F2"/>
        </patternFill>
      </fill>
    </dxf>
    <dxf>
      <fill>
        <patternFill>
          <bgColor rgb="FFF2F2F2"/>
        </patternFill>
      </fill>
    </dxf>
    <dxf>
      <fill>
        <patternFill>
          <bgColor rgb="FF8DB4E2"/>
        </patternFill>
      </fill>
    </dxf>
    <dxf>
      <fill>
        <patternFill>
          <bgColor rgb="FFF2F2F2"/>
        </patternFill>
      </fill>
    </dxf>
    <dxf>
      <fill>
        <patternFill>
          <bgColor rgb="FFF2F2F2"/>
        </patternFill>
      </fill>
    </dxf>
    <dxf>
      <fill>
        <patternFill>
          <bgColor theme="0" tint="-4.9989318521683403E-2"/>
        </patternFill>
      </fill>
    </dxf>
    <dxf>
      <fill>
        <patternFill>
          <bgColor theme="0" tint="-4.9989318521683403E-2"/>
        </patternFill>
      </fill>
    </dxf>
    <dxf>
      <font>
        <color theme="0" tint="-0.499984740745262"/>
      </font>
      <fill>
        <patternFill>
          <bgColor rgb="FFF2F2F2"/>
        </patternFill>
      </fill>
      <border>
        <left/>
        <right/>
        <top/>
        <bottom/>
      </border>
    </dxf>
    <dxf>
      <font>
        <color rgb="FFFF6600"/>
      </font>
    </dxf>
    <dxf>
      <font>
        <color rgb="FFF6891F"/>
      </font>
    </dxf>
    <dxf>
      <font>
        <color rgb="FF14284B"/>
      </font>
      <fill>
        <patternFill patternType="none">
          <bgColor auto="1"/>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595959"/>
        </patternFill>
      </fill>
    </dxf>
    <dxf>
      <font>
        <color theme="0"/>
      </font>
      <fill>
        <patternFill>
          <bgColor rgb="FF003399"/>
        </patternFill>
      </fill>
    </dxf>
    <dxf>
      <fill>
        <patternFill>
          <bgColor rgb="FF8DB4E2"/>
        </patternFill>
      </fill>
    </dxf>
    <dxf>
      <fill>
        <patternFill>
          <bgColor rgb="FFFABF8F"/>
        </patternFill>
      </fill>
    </dxf>
    <dxf>
      <font>
        <color rgb="FFFF0000"/>
      </font>
    </dxf>
    <dxf>
      <font>
        <color rgb="FFFF6600"/>
      </font>
    </dxf>
    <dxf>
      <font>
        <color rgb="FFF6891F"/>
      </font>
    </dxf>
    <dxf>
      <font>
        <color rgb="FF14284B"/>
      </font>
      <fill>
        <patternFill patternType="none">
          <bgColor auto="1"/>
        </patternFill>
      </fill>
    </dxf>
    <dxf>
      <fill>
        <patternFill>
          <bgColor theme="0"/>
        </patternFill>
      </fill>
    </dxf>
    <dxf>
      <fill>
        <patternFill>
          <bgColor theme="0" tint="-4.9989318521683403E-2"/>
        </patternFill>
      </fill>
      <border>
        <left/>
        <right/>
        <top/>
        <bottom/>
        <vertical/>
        <horizontal/>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ont>
        <color theme="0" tint="-4.9989318521683403E-2"/>
      </font>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ill>
        <patternFill>
          <bgColor theme="0" tint="-4.9989318521683403E-2"/>
        </patternFill>
      </fill>
      <border>
        <left/>
        <right/>
        <top/>
        <bottom/>
      </border>
    </dxf>
    <dxf>
      <fill>
        <patternFill>
          <bgColor theme="0" tint="-4.9989318521683403E-2"/>
        </patternFill>
      </fill>
      <border>
        <left/>
        <right/>
        <top/>
        <bottom/>
        <vertical/>
        <horizontal/>
      </border>
    </dxf>
    <dxf>
      <fill>
        <patternFill>
          <bgColor rgb="FFFF0000"/>
        </patternFill>
      </fill>
    </dxf>
    <dxf>
      <fill>
        <patternFill>
          <bgColor theme="0" tint="-4.9989318521683403E-2"/>
        </patternFill>
      </fill>
      <border>
        <left/>
        <right/>
        <top/>
        <bottom/>
      </border>
    </dxf>
    <dxf>
      <fill>
        <patternFill patternType="none">
          <bgColor auto="1"/>
        </patternFill>
      </fill>
    </dxf>
    <dxf>
      <font>
        <color rgb="FFFF6600"/>
      </font>
    </dxf>
    <dxf>
      <font>
        <color rgb="FFF6891F"/>
      </font>
    </dxf>
    <dxf>
      <font>
        <color rgb="FF14284B"/>
      </font>
      <fill>
        <patternFill patternType="none">
          <bgColor auto="1"/>
        </patternFill>
      </fill>
    </dxf>
    <dxf>
      <fill>
        <patternFill>
          <bgColor rgb="FF8DB4E2"/>
        </patternFill>
      </fill>
    </dxf>
    <dxf>
      <fill>
        <patternFill>
          <bgColor rgb="FFFBBF8F"/>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rgb="FFFF0000"/>
      </font>
    </dxf>
    <dxf>
      <font>
        <b/>
        <i val="0"/>
        <condense val="0"/>
        <extend val="0"/>
        <color indexed="8"/>
      </font>
    </dxf>
    <dxf>
      <font>
        <color rgb="FFFF6600"/>
      </font>
    </dxf>
    <dxf>
      <font>
        <color rgb="FFF6891F"/>
      </font>
    </dxf>
    <dxf>
      <font>
        <color rgb="FF14284B"/>
      </font>
      <fill>
        <patternFill patternType="none">
          <bgColor auto="1"/>
        </patternFill>
      </fill>
    </dxf>
    <dxf>
      <font>
        <color rgb="FFFF6600"/>
      </font>
    </dxf>
    <dxf>
      <font>
        <color rgb="FFF6891F"/>
      </font>
    </dxf>
    <dxf>
      <font>
        <color rgb="FF14284B"/>
      </font>
      <fill>
        <patternFill patternType="none">
          <bgColor auto="1"/>
        </patternFill>
      </fill>
    </dxf>
    <dxf>
      <fill>
        <patternFill>
          <bgColor rgb="FFFABF8F"/>
        </patternFill>
      </fill>
    </dxf>
    <dxf>
      <font>
        <color theme="0" tint="-4.9989318521683403E-2"/>
      </font>
    </dxf>
    <dxf>
      <font>
        <color theme="0" tint="-4.9989318521683403E-2"/>
      </font>
    </dxf>
    <dxf>
      <fill>
        <patternFill>
          <bgColor rgb="FFFABF8F"/>
        </patternFill>
      </fill>
    </dxf>
    <dxf>
      <font>
        <color theme="0" tint="-4.9989318521683403E-2"/>
      </font>
    </dxf>
    <dxf>
      <font>
        <color theme="0" tint="-4.9989318521683403E-2"/>
      </font>
    </dxf>
    <dxf>
      <font>
        <color theme="0" tint="-4.9989318521683403E-2"/>
      </font>
    </dxf>
    <dxf>
      <fill>
        <patternFill>
          <bgColor theme="3" tint="0.59996337778862885"/>
        </patternFill>
      </fill>
    </dxf>
    <dxf>
      <font>
        <color theme="1"/>
      </font>
      <fill>
        <patternFill>
          <bgColor rgb="FFFFCB00"/>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rgb="FFFF6600"/>
      </font>
    </dxf>
    <dxf>
      <font>
        <color rgb="FFF6891F"/>
      </font>
    </dxf>
    <dxf>
      <font>
        <color rgb="FF14284B"/>
      </font>
      <fill>
        <patternFill patternType="none">
          <bgColor auto="1"/>
        </patternFill>
      </fill>
    </dxf>
    <dxf>
      <font>
        <color theme="0" tint="-4.9989318521683403E-2"/>
      </font>
    </dxf>
    <dxf>
      <font>
        <color theme="0"/>
      </font>
      <fill>
        <patternFill>
          <bgColor rgb="FFC00000"/>
        </patternFill>
      </fill>
    </dxf>
    <dxf>
      <font>
        <color theme="0" tint="-4.9989318521683403E-2"/>
      </font>
    </dxf>
    <dxf>
      <font>
        <color theme="0"/>
      </font>
      <fill>
        <patternFill>
          <bgColor rgb="FFC00000"/>
        </patternFill>
      </fill>
    </dxf>
    <dxf>
      <font>
        <color theme="0" tint="-4.9989318521683403E-2"/>
      </font>
    </dxf>
    <dxf>
      <font>
        <color theme="0"/>
      </font>
      <fill>
        <patternFill>
          <bgColor rgb="FFC00000"/>
        </patternFill>
      </fill>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006100"/>
      </font>
      <fill>
        <patternFill>
          <bgColor rgb="FFC6EFCE"/>
        </patternFill>
      </fill>
    </dxf>
    <dxf>
      <font>
        <color rgb="FF9C0006"/>
      </font>
      <fill>
        <patternFill>
          <bgColor rgb="FFFFC7CE"/>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E32E6E"/>
        </patternFill>
      </fill>
    </dxf>
    <dxf>
      <font>
        <color theme="0"/>
      </font>
      <fill>
        <patternFill>
          <bgColor rgb="FFF79550"/>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0090D6"/>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644B"/>
        </patternFill>
      </fill>
    </dxf>
    <dxf>
      <font>
        <color theme="0"/>
      </font>
      <fill>
        <patternFill>
          <bgColor rgb="FF003399"/>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F6891F"/>
        </patternFill>
      </fill>
    </dxf>
    <dxf>
      <font>
        <color theme="0"/>
      </font>
      <fill>
        <patternFill>
          <bgColor rgb="FFFF6600"/>
        </patternFill>
      </fill>
    </dxf>
    <dxf>
      <font>
        <color theme="0"/>
      </font>
      <fill>
        <patternFill>
          <bgColor rgb="FF14284B"/>
        </patternFill>
      </fill>
    </dxf>
    <dxf>
      <font>
        <color theme="0"/>
      </font>
      <fill>
        <patternFill>
          <bgColor rgb="FFE32E6E"/>
        </patternFill>
      </fill>
    </dxf>
    <dxf>
      <font>
        <color theme="0"/>
      </font>
      <fill>
        <patternFill>
          <bgColor rgb="FF003399"/>
        </patternFill>
      </fill>
    </dxf>
    <dxf>
      <font>
        <color rgb="FFFF6600"/>
      </font>
    </dxf>
    <dxf>
      <font>
        <color rgb="FFF6891F"/>
      </font>
    </dxf>
    <dxf>
      <font>
        <color rgb="FF14284B"/>
      </font>
      <fill>
        <patternFill patternType="none">
          <bgColor auto="1"/>
        </patternFill>
      </fill>
    </dxf>
    <dxf>
      <font>
        <color rgb="FFFF6600"/>
      </font>
    </dxf>
    <dxf>
      <font>
        <color rgb="FFF6891F"/>
      </font>
    </dxf>
    <dxf>
      <font>
        <color rgb="FF14284B"/>
      </font>
      <fill>
        <patternFill patternType="none">
          <bgColor auto="1"/>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FF0000"/>
        </patternFill>
      </fill>
    </dxf>
    <dxf>
      <fill>
        <patternFill>
          <bgColor rgb="FFFF0000"/>
        </patternFill>
      </fill>
    </dxf>
    <dxf>
      <font>
        <color auto="1"/>
      </font>
      <fill>
        <patternFill>
          <bgColor rgb="FFFF0000"/>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theme="0"/>
      </font>
      <fill>
        <patternFill>
          <bgColor theme="9" tint="-0.24994659260841701"/>
        </patternFill>
      </fill>
    </dxf>
    <dxf>
      <font>
        <b val="0"/>
        <i val="0"/>
        <color theme="0"/>
      </font>
      <fill>
        <patternFill>
          <bgColor rgb="FFC00000"/>
        </patternFill>
      </fill>
    </dxf>
    <dxf>
      <font>
        <b val="0"/>
        <i val="0"/>
        <color theme="0"/>
      </font>
      <fill>
        <patternFill>
          <bgColor theme="9" tint="-0.24994659260841701"/>
        </patternFill>
      </fill>
    </dxf>
    <dxf>
      <fill>
        <patternFill>
          <bgColor rgb="FF92D050"/>
        </patternFill>
      </fill>
    </dxf>
    <dxf>
      <font>
        <color theme="0"/>
      </font>
      <fill>
        <patternFill>
          <bgColor rgb="FFC00000"/>
        </patternFill>
      </fill>
    </dxf>
    <dxf>
      <font>
        <color auto="1"/>
      </font>
      <fill>
        <patternFill>
          <bgColor theme="0"/>
        </patternFill>
      </fill>
    </dxf>
    <dxf>
      <font>
        <color rgb="FFFF0000"/>
      </font>
    </dxf>
    <dxf>
      <font>
        <color theme="7" tint="0.59996337778862885"/>
      </font>
    </dxf>
    <dxf>
      <fill>
        <patternFill>
          <bgColor rgb="FFFABF8F"/>
        </patternFill>
      </fill>
    </dxf>
    <dxf>
      <fill>
        <patternFill>
          <bgColor rgb="FFFABF8F"/>
        </patternFill>
      </fill>
    </dxf>
    <dxf>
      <fill>
        <patternFill>
          <bgColor rgb="FFFABF8F"/>
        </patternFill>
      </fill>
    </dxf>
    <dxf>
      <font>
        <color theme="1"/>
      </font>
      <fill>
        <patternFill>
          <bgColor rgb="FFFFCB00"/>
        </patternFill>
      </fill>
    </dxf>
    <dxf>
      <font>
        <color theme="0"/>
      </font>
      <fill>
        <patternFill>
          <bgColor rgb="FF0090D6"/>
        </patternFill>
      </fill>
    </dxf>
    <dxf>
      <font>
        <color theme="0"/>
      </font>
      <fill>
        <patternFill>
          <bgColor rgb="FFE32E6E"/>
        </patternFill>
      </fill>
    </dxf>
    <dxf>
      <font>
        <color theme="0"/>
      </font>
      <fill>
        <patternFill>
          <bgColor rgb="FF003399"/>
        </patternFill>
      </fill>
    </dxf>
    <dxf>
      <font>
        <color theme="0"/>
      </font>
      <fill>
        <patternFill>
          <bgColor rgb="FF00644B"/>
        </patternFill>
      </fill>
    </dxf>
    <dxf>
      <font>
        <color theme="0"/>
      </font>
      <fill>
        <patternFill>
          <bgColor rgb="FF003399"/>
        </patternFill>
      </fill>
    </dxf>
    <dxf>
      <font>
        <color theme="0"/>
      </font>
      <fill>
        <patternFill>
          <bgColor rgb="FF0DD1BF"/>
        </patternFill>
      </fill>
    </dxf>
    <dxf>
      <font>
        <color theme="0"/>
      </font>
      <fill>
        <patternFill>
          <bgColor rgb="FFF79550"/>
        </patternFill>
      </fill>
    </dxf>
    <dxf>
      <font>
        <color rgb="FFFF6600"/>
      </font>
    </dxf>
    <dxf>
      <font>
        <color rgb="FFF6891F"/>
      </font>
    </dxf>
    <dxf>
      <font>
        <color rgb="FF14284B"/>
      </font>
      <fill>
        <patternFill patternType="none">
          <bgColor auto="1"/>
        </patternFill>
      </fill>
    </dxf>
    <dxf>
      <font>
        <b val="0"/>
        <i val="0"/>
        <color theme="0"/>
      </font>
      <fill>
        <patternFill>
          <bgColor theme="9" tint="-0.24994659260841701"/>
        </patternFill>
      </fill>
    </dxf>
    <dxf>
      <font>
        <color theme="0"/>
      </font>
      <fill>
        <patternFill>
          <bgColor rgb="FFC00000"/>
        </patternFill>
      </fill>
    </dxf>
    <dxf>
      <font>
        <b val="0"/>
        <i val="0"/>
        <color theme="1"/>
      </font>
      <fill>
        <patternFill>
          <bgColor theme="7" tint="0.79998168889431442"/>
        </patternFill>
      </fill>
    </dxf>
    <dxf>
      <font>
        <b val="0"/>
        <i val="0"/>
        <color theme="0"/>
      </font>
      <fill>
        <patternFill>
          <bgColor rgb="FF92D050"/>
        </patternFill>
      </fill>
    </dxf>
    <dxf>
      <font>
        <color theme="0"/>
      </font>
      <fill>
        <patternFill>
          <bgColor theme="9" tint="-0.24994659260841701"/>
        </patternFill>
      </fill>
    </dxf>
    <dxf>
      <font>
        <b val="0"/>
        <i val="0"/>
        <color theme="0"/>
      </font>
      <fill>
        <patternFill>
          <bgColor rgb="FFC00000"/>
        </patternFill>
      </fill>
    </dxf>
    <dxf>
      <font>
        <color theme="1"/>
      </font>
      <fill>
        <patternFill>
          <bgColor theme="7" tint="0.79998168889431442"/>
        </patternFill>
      </fill>
    </dxf>
    <dxf>
      <font>
        <color theme="0"/>
      </font>
      <fill>
        <patternFill>
          <bgColor rgb="FF92D050"/>
        </patternFill>
      </fill>
    </dxf>
    <dxf>
      <font>
        <color theme="7" tint="0.59996337778862885"/>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30</xdr:row>
      <xdr:rowOff>19050</xdr:rowOff>
    </xdr:from>
    <xdr:to>
      <xdr:col>6</xdr:col>
      <xdr:colOff>717562</xdr:colOff>
      <xdr:row>34</xdr:row>
      <xdr:rowOff>23085</xdr:rowOff>
    </xdr:to>
    <xdr:pic>
      <xdr:nvPicPr>
        <xdr:cNvPr id="3" name="Picture 2">
          <a:extLst>
            <a:ext uri="{FF2B5EF4-FFF2-40B4-BE49-F238E27FC236}">
              <a16:creationId xmlns:a16="http://schemas.microsoft.com/office/drawing/2014/main" id="{BF099D2D-880E-8A89-616C-E7A2B6CA0F6A}"/>
            </a:ext>
          </a:extLst>
        </xdr:cNvPr>
        <xdr:cNvPicPr>
          <a:picLocks noChangeAspect="1"/>
        </xdr:cNvPicPr>
      </xdr:nvPicPr>
      <xdr:blipFill>
        <a:blip xmlns:r="http://schemas.openxmlformats.org/officeDocument/2006/relationships" r:embed="rId1"/>
        <a:stretch>
          <a:fillRect/>
        </a:stretch>
      </xdr:blipFill>
      <xdr:spPr>
        <a:xfrm>
          <a:off x="294409" y="7266709"/>
          <a:ext cx="2804403" cy="999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590550</xdr:colOff>
          <xdr:row>0</xdr:row>
          <xdr:rowOff>95250</xdr:rowOff>
        </xdr:from>
        <xdr:to>
          <xdr:col>15</xdr:col>
          <xdr:colOff>95250</xdr:colOff>
          <xdr:row>0</xdr:row>
          <xdr:rowOff>1095375</xdr:rowOff>
        </xdr:to>
        <xdr:pic>
          <xdr:nvPicPr>
            <xdr:cNvPr id="3" name="LogoPicture">
              <a:extLst>
                <a:ext uri="{FF2B5EF4-FFF2-40B4-BE49-F238E27FC236}">
                  <a16:creationId xmlns:a16="http://schemas.microsoft.com/office/drawing/2014/main" id="{CDF8D38E-E453-4DA0-A9B3-0CE45B9CB14A}"/>
                </a:ext>
              </a:extLst>
            </xdr:cNvPr>
            <xdr:cNvPicPr>
              <a:picLocks noChangeAspect="1" noChangeArrowheads="1"/>
              <a:extLst>
                <a:ext uri="{84589F7E-364E-4C9E-8A38-B11213B215E9}">
                  <a14:cameraTool cellRange="WALELogoLookup" spid="_x0000_s5123"/>
                </a:ext>
              </a:extLst>
            </xdr:cNvPicPr>
          </xdr:nvPicPr>
          <xdr:blipFill rotWithShape="1">
            <a:blip xmlns:r="http://schemas.openxmlformats.org/officeDocument/2006/relationships" r:embed="rId1"/>
            <a:srcRect l="50" r="1199"/>
            <a:stretch>
              <a:fillRect/>
            </a:stretch>
          </xdr:blipFill>
          <xdr:spPr bwMode="auto">
            <a:xfrm>
              <a:off x="7315200" y="95250"/>
              <a:ext cx="2819400" cy="1000125"/>
            </a:xfrm>
            <a:prstGeom prst="rect">
              <a:avLst/>
            </a:prstGeom>
            <a:noFill/>
          </xdr:spPr>
        </xdr:pic>
        <xdr:clientData/>
      </xdr:twoCellAnchor>
    </mc:Choice>
    <mc:Fallback/>
  </mc:AlternateContent>
  <xdr:twoCellAnchor editAs="oneCell">
    <xdr:from>
      <xdr:col>15</xdr:col>
      <xdr:colOff>0</xdr:colOff>
      <xdr:row>54</xdr:row>
      <xdr:rowOff>19050</xdr:rowOff>
    </xdr:from>
    <xdr:to>
      <xdr:col>18</xdr:col>
      <xdr:colOff>292471</xdr:colOff>
      <xdr:row>58</xdr:row>
      <xdr:rowOff>104481</xdr:rowOff>
    </xdr:to>
    <xdr:pic>
      <xdr:nvPicPr>
        <xdr:cNvPr id="4" name="Picture 3">
          <a:extLst>
            <a:ext uri="{FF2B5EF4-FFF2-40B4-BE49-F238E27FC236}">
              <a16:creationId xmlns:a16="http://schemas.microsoft.com/office/drawing/2014/main" id="{858CDA9A-D237-5A56-9184-5C4F988CF477}"/>
            </a:ext>
          </a:extLst>
        </xdr:cNvPr>
        <xdr:cNvPicPr>
          <a:picLocks noChangeAspect="1"/>
        </xdr:cNvPicPr>
      </xdr:nvPicPr>
      <xdr:blipFill>
        <a:blip xmlns:r="http://schemas.openxmlformats.org/officeDocument/2006/relationships" r:embed="rId2"/>
        <a:stretch>
          <a:fillRect/>
        </a:stretch>
      </xdr:blipFill>
      <xdr:spPr>
        <a:xfrm>
          <a:off x="10039350" y="11944350"/>
          <a:ext cx="2816596" cy="999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19050</xdr:rowOff>
    </xdr:from>
    <xdr:to>
      <xdr:col>6</xdr:col>
      <xdr:colOff>698618</xdr:colOff>
      <xdr:row>37</xdr:row>
      <xdr:rowOff>161631</xdr:rowOff>
    </xdr:to>
    <xdr:pic>
      <xdr:nvPicPr>
        <xdr:cNvPr id="3" name="Picture 2">
          <a:extLst>
            <a:ext uri="{FF2B5EF4-FFF2-40B4-BE49-F238E27FC236}">
              <a16:creationId xmlns:a16="http://schemas.microsoft.com/office/drawing/2014/main" id="{CBCF247B-0FC1-E650-A9EC-7A8CE15E5A50}"/>
            </a:ext>
          </a:extLst>
        </xdr:cNvPr>
        <xdr:cNvPicPr>
          <a:picLocks noChangeAspect="1"/>
        </xdr:cNvPicPr>
      </xdr:nvPicPr>
      <xdr:blipFill>
        <a:blip xmlns:r="http://schemas.openxmlformats.org/officeDocument/2006/relationships" r:embed="rId1"/>
        <a:stretch>
          <a:fillRect/>
        </a:stretch>
      </xdr:blipFill>
      <xdr:spPr>
        <a:xfrm>
          <a:off x="0" y="7105650"/>
          <a:ext cx="2822693" cy="9998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15</xdr:row>
      <xdr:rowOff>19050</xdr:rowOff>
    </xdr:from>
    <xdr:to>
      <xdr:col>11</xdr:col>
      <xdr:colOff>530596</xdr:colOff>
      <xdr:row>20</xdr:row>
      <xdr:rowOff>18756</xdr:rowOff>
    </xdr:to>
    <xdr:pic>
      <xdr:nvPicPr>
        <xdr:cNvPr id="3" name="Picture 2">
          <a:extLst>
            <a:ext uri="{FF2B5EF4-FFF2-40B4-BE49-F238E27FC236}">
              <a16:creationId xmlns:a16="http://schemas.microsoft.com/office/drawing/2014/main" id="{88CE35BA-267A-A50A-098D-800828F075D7}"/>
            </a:ext>
          </a:extLst>
        </xdr:cNvPr>
        <xdr:cNvPicPr>
          <a:picLocks noChangeAspect="1"/>
        </xdr:cNvPicPr>
      </xdr:nvPicPr>
      <xdr:blipFill>
        <a:blip xmlns:r="http://schemas.openxmlformats.org/officeDocument/2006/relationships" r:embed="rId1"/>
        <a:stretch>
          <a:fillRect/>
        </a:stretch>
      </xdr:blipFill>
      <xdr:spPr>
        <a:xfrm>
          <a:off x="3848100" y="3276600"/>
          <a:ext cx="2816596" cy="9998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13</xdr:row>
      <xdr:rowOff>19050</xdr:rowOff>
    </xdr:from>
    <xdr:to>
      <xdr:col>10</xdr:col>
      <xdr:colOff>536693</xdr:colOff>
      <xdr:row>18</xdr:row>
      <xdr:rowOff>18756</xdr:rowOff>
    </xdr:to>
    <xdr:pic>
      <xdr:nvPicPr>
        <xdr:cNvPr id="3" name="Picture 2">
          <a:extLst>
            <a:ext uri="{FF2B5EF4-FFF2-40B4-BE49-F238E27FC236}">
              <a16:creationId xmlns:a16="http://schemas.microsoft.com/office/drawing/2014/main" id="{774CF655-CE99-D31D-476B-E4BDF3D0A079}"/>
            </a:ext>
          </a:extLst>
        </xdr:cNvPr>
        <xdr:cNvPicPr>
          <a:picLocks noChangeAspect="1"/>
        </xdr:cNvPicPr>
      </xdr:nvPicPr>
      <xdr:blipFill>
        <a:blip xmlns:r="http://schemas.openxmlformats.org/officeDocument/2006/relationships" r:embed="rId1"/>
        <a:stretch>
          <a:fillRect/>
        </a:stretch>
      </xdr:blipFill>
      <xdr:spPr>
        <a:xfrm>
          <a:off x="3971925" y="2800350"/>
          <a:ext cx="2822693" cy="999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41</xdr:col>
      <xdr:colOff>0</xdr:colOff>
      <xdr:row>102</xdr:row>
      <xdr:rowOff>108124</xdr:rowOff>
    </xdr:from>
    <xdr:to>
      <xdr:col>48</xdr:col>
      <xdr:colOff>514350</xdr:colOff>
      <xdr:row>119</xdr:row>
      <xdr:rowOff>38100</xdr:rowOff>
    </xdr:to>
    <xdr:pic>
      <xdr:nvPicPr>
        <xdr:cNvPr id="2" name="Picture 3">
          <a:extLst>
            <a:ext uri="{FF2B5EF4-FFF2-40B4-BE49-F238E27FC236}">
              <a16:creationId xmlns:a16="http://schemas.microsoft.com/office/drawing/2014/main" id="{5A6F9BA4-5659-46E7-AF7B-D80D1AE96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81950" y="17119774"/>
          <a:ext cx="6248400" cy="2720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533400</xdr:colOff>
      <xdr:row>40</xdr:row>
      <xdr:rowOff>30018</xdr:rowOff>
    </xdr:from>
    <xdr:to>
      <xdr:col>45</xdr:col>
      <xdr:colOff>542925</xdr:colOff>
      <xdr:row>57</xdr:row>
      <xdr:rowOff>28575</xdr:rowOff>
    </xdr:to>
    <xdr:pic>
      <xdr:nvPicPr>
        <xdr:cNvPr id="3" name="Picture 3">
          <a:extLst>
            <a:ext uri="{FF2B5EF4-FFF2-40B4-BE49-F238E27FC236}">
              <a16:creationId xmlns:a16="http://schemas.microsoft.com/office/drawing/2014/main" id="{69C28A88-F325-4058-BAE8-4220B7D541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62900" y="6888018"/>
          <a:ext cx="3886200" cy="2789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41</xdr:col>
      <xdr:colOff>7478</xdr:colOff>
      <xdr:row>20</xdr:row>
      <xdr:rowOff>57150</xdr:rowOff>
    </xdr:from>
    <xdr:to>
      <xdr:col>48</xdr:col>
      <xdr:colOff>523874</xdr:colOff>
      <xdr:row>35</xdr:row>
      <xdr:rowOff>104775</xdr:rowOff>
    </xdr:to>
    <xdr:pic>
      <xdr:nvPicPr>
        <xdr:cNvPr id="4" name="Picture 3">
          <a:extLst>
            <a:ext uri="{FF2B5EF4-FFF2-40B4-BE49-F238E27FC236}">
              <a16:creationId xmlns:a16="http://schemas.microsoft.com/office/drawing/2014/main" id="{219D7181-B89A-4C91-8BCC-C2A44175AAC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89428" y="3638550"/>
          <a:ext cx="6250446"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41</xdr:col>
      <xdr:colOff>57149</xdr:colOff>
      <xdr:row>146</xdr:row>
      <xdr:rowOff>33887</xdr:rowOff>
    </xdr:from>
    <xdr:to>
      <xdr:col>48</xdr:col>
      <xdr:colOff>399076</xdr:colOff>
      <xdr:row>172</xdr:row>
      <xdr:rowOff>152400</xdr:rowOff>
    </xdr:to>
    <xdr:pic>
      <xdr:nvPicPr>
        <xdr:cNvPr id="5" name="Picture 4">
          <a:extLst>
            <a:ext uri="{FF2B5EF4-FFF2-40B4-BE49-F238E27FC236}">
              <a16:creationId xmlns:a16="http://schemas.microsoft.com/office/drawing/2014/main" id="{5705D74F-8AF0-41A5-9CC7-3F4034578751}"/>
            </a:ext>
          </a:extLst>
        </xdr:cNvPr>
        <xdr:cNvPicPr>
          <a:picLocks noChangeAspect="1"/>
        </xdr:cNvPicPr>
      </xdr:nvPicPr>
      <xdr:blipFill>
        <a:blip xmlns:r="http://schemas.openxmlformats.org/officeDocument/2006/relationships" r:embed="rId4"/>
        <a:stretch>
          <a:fillRect/>
        </a:stretch>
      </xdr:blipFill>
      <xdr:spPr>
        <a:xfrm>
          <a:off x="8039099" y="24246437"/>
          <a:ext cx="6075977" cy="4366663"/>
        </a:xfrm>
        <a:prstGeom prst="rect">
          <a:avLst/>
        </a:prstGeom>
      </xdr:spPr>
    </xdr:pic>
    <xdr:clientData/>
  </xdr:twoCellAnchor>
  <xdr:twoCellAnchor editAs="oneCell">
    <xdr:from>
      <xdr:col>41</xdr:col>
      <xdr:colOff>47625</xdr:colOff>
      <xdr:row>125</xdr:row>
      <xdr:rowOff>9586</xdr:rowOff>
    </xdr:from>
    <xdr:to>
      <xdr:col>46</xdr:col>
      <xdr:colOff>589459</xdr:colOff>
      <xdr:row>137</xdr:row>
      <xdr:rowOff>56675</xdr:rowOff>
    </xdr:to>
    <xdr:pic>
      <xdr:nvPicPr>
        <xdr:cNvPr id="6" name="Picture 5">
          <a:extLst>
            <a:ext uri="{FF2B5EF4-FFF2-40B4-BE49-F238E27FC236}">
              <a16:creationId xmlns:a16="http://schemas.microsoft.com/office/drawing/2014/main" id="{DDFF84B4-A70B-4E92-9497-B12D799B6FC4}"/>
            </a:ext>
          </a:extLst>
        </xdr:cNvPr>
        <xdr:cNvPicPr>
          <a:picLocks noChangeAspect="1"/>
        </xdr:cNvPicPr>
      </xdr:nvPicPr>
      <xdr:blipFill>
        <a:blip xmlns:r="http://schemas.openxmlformats.org/officeDocument/2006/relationships" r:embed="rId5"/>
        <a:stretch>
          <a:fillRect/>
        </a:stretch>
      </xdr:blipFill>
      <xdr:spPr>
        <a:xfrm>
          <a:off x="8029575" y="20821711"/>
          <a:ext cx="4580434" cy="199018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hristine Zeng" id="{34B81A92-4B22-4789-876F-B850ADCA5C4F}" userId="S::czeng@thinktank.net.au::f2c38188-7bd6-4104-8b74-9a09a34b94e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90" dT="2023-08-29T06:11:34.23" personId="{34B81A92-4B22-4789-876F-B850ADCA5C4F}" id="{4FC89B92-7E5F-4381-A19C-B8276FBB3C29}">
    <text>No DSCR requirement for lease doc</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7C359-BB16-48AC-832B-EAD23E7C2450}">
  <sheetPr codeName="Sheet2">
    <tabColor theme="1"/>
    <pageSetUpPr fitToPage="1"/>
  </sheetPr>
  <dimension ref="A1:AW150"/>
  <sheetViews>
    <sheetView showGridLines="0" showRowColHeaders="0" tabSelected="1" zoomScale="110" zoomScaleNormal="110" workbookViewId="0">
      <selection activeCell="A5" sqref="A5"/>
    </sheetView>
  </sheetViews>
  <sheetFormatPr defaultRowHeight="12.75" x14ac:dyDescent="0.2"/>
  <cols>
    <col min="1" max="1" width="4.42578125" customWidth="1"/>
    <col min="2" max="2" width="7.7109375" customWidth="1"/>
    <col min="3" max="3" width="5.85546875" customWidth="1"/>
    <col min="4" max="4" width="8.5703125" customWidth="1"/>
    <col min="5" max="5" width="8.28515625" customWidth="1"/>
    <col min="6" max="6" width="0.85546875" customWidth="1"/>
    <col min="7" max="7" width="13.5703125" customWidth="1"/>
    <col min="8" max="8" width="3.7109375" customWidth="1"/>
    <col min="9" max="9" width="7.140625" customWidth="1"/>
    <col min="10" max="10" width="7.7109375" customWidth="1"/>
    <col min="11" max="11" width="4.42578125" customWidth="1"/>
    <col min="12" max="12" width="4" customWidth="1"/>
    <col min="13" max="13" width="7.28515625" customWidth="1"/>
    <col min="14" max="14" width="13.140625" customWidth="1"/>
    <col min="15" max="15" width="9.5703125" customWidth="1"/>
    <col min="16" max="16" width="3.28515625" customWidth="1"/>
    <col min="17" max="18" width="8.85546875" customWidth="1"/>
    <col min="19" max="19" width="3.28515625" customWidth="1"/>
    <col min="20" max="20" width="11" customWidth="1"/>
    <col min="21" max="21" width="12.42578125" bestFit="1" customWidth="1"/>
    <col min="22" max="22" width="10.85546875" customWidth="1"/>
    <col min="23" max="23" width="3.28515625" customWidth="1"/>
    <col min="24" max="24" width="10.85546875" customWidth="1"/>
    <col min="25" max="25" width="3.28515625" customWidth="1"/>
    <col min="26" max="26" width="3.140625" customWidth="1"/>
    <col min="27" max="27" width="3.140625" hidden="1" customWidth="1"/>
    <col min="28" max="28" width="19.85546875" hidden="1" customWidth="1"/>
    <col min="29" max="33" width="10.7109375" hidden="1" customWidth="1"/>
    <col min="34" max="35" width="10.85546875" hidden="1" customWidth="1"/>
    <col min="36" max="36" width="8.85546875" hidden="1" customWidth="1"/>
    <col min="37" max="37" width="18" hidden="1" customWidth="1"/>
    <col min="38" max="38" width="18.42578125" hidden="1" customWidth="1"/>
    <col min="39" max="40" width="6.28515625" hidden="1" customWidth="1"/>
    <col min="41" max="47" width="9.140625" hidden="1" customWidth="1"/>
    <col min="48" max="48" width="8.85546875" hidden="1" customWidth="1"/>
    <col min="49" max="49" width="19.85546875" hidden="1" customWidth="1"/>
  </cols>
  <sheetData>
    <row r="1" spans="1:47" ht="33.75" customHeight="1" x14ac:dyDescent="0.2">
      <c r="A1" s="83" t="s">
        <v>8</v>
      </c>
      <c r="B1" s="5"/>
      <c r="C1" s="5"/>
      <c r="D1" s="5"/>
      <c r="E1" s="5"/>
      <c r="F1" s="5" t="s">
        <v>0</v>
      </c>
      <c r="G1" s="6" t="s">
        <v>74</v>
      </c>
      <c r="H1" s="5"/>
      <c r="I1" s="5"/>
      <c r="J1" s="5"/>
      <c r="K1" s="5"/>
      <c r="L1" s="5"/>
      <c r="M1" s="5"/>
      <c r="N1" s="5"/>
      <c r="O1" s="5"/>
      <c r="P1" s="84" t="s">
        <v>4</v>
      </c>
      <c r="Q1" s="85"/>
      <c r="R1" s="85"/>
      <c r="S1" s="86" t="s">
        <v>75</v>
      </c>
      <c r="T1" s="85"/>
      <c r="U1" s="87"/>
      <c r="V1" s="87"/>
      <c r="W1" s="87"/>
      <c r="X1" s="87"/>
      <c r="Y1" s="88"/>
      <c r="AB1" s="3"/>
      <c r="AC1" s="3"/>
      <c r="AD1" s="3"/>
      <c r="AE1" s="3"/>
      <c r="AF1" s="3"/>
      <c r="AG1" s="3"/>
      <c r="AH1" s="3"/>
      <c r="AI1" s="3"/>
      <c r="AJ1" s="3"/>
      <c r="AK1" s="3"/>
      <c r="AL1" s="3"/>
      <c r="AM1" s="3"/>
      <c r="AN1" s="3"/>
      <c r="AO1" s="3"/>
      <c r="AP1" s="3"/>
    </row>
    <row r="2" spans="1:47" x14ac:dyDescent="0.2">
      <c r="A2" s="7"/>
      <c r="B2" s="8"/>
      <c r="C2" s="8"/>
      <c r="D2" s="8"/>
      <c r="E2" s="8"/>
      <c r="F2" s="8"/>
      <c r="G2" s="8"/>
      <c r="H2" s="8"/>
      <c r="I2" s="8"/>
      <c r="J2" s="8"/>
      <c r="K2" s="9"/>
      <c r="L2" s="10"/>
      <c r="M2" s="8"/>
      <c r="N2" s="8"/>
      <c r="O2" s="8"/>
      <c r="P2" s="8"/>
      <c r="Q2" s="8"/>
      <c r="R2" s="8"/>
      <c r="S2" s="8"/>
      <c r="T2" s="11"/>
      <c r="U2" s="8"/>
      <c r="V2" s="11"/>
      <c r="W2" s="8"/>
      <c r="X2" s="11"/>
      <c r="Y2" s="12"/>
      <c r="AB2" s="1" t="s">
        <v>76</v>
      </c>
      <c r="AC2" s="13" t="s">
        <v>0</v>
      </c>
      <c r="AD2" s="3"/>
      <c r="AE2" s="3"/>
      <c r="AF2" s="3"/>
      <c r="AG2" s="3"/>
      <c r="AH2" s="3"/>
      <c r="AI2" s="3"/>
      <c r="AJ2" s="3"/>
      <c r="AK2" s="3"/>
      <c r="AL2" s="3"/>
      <c r="AM2" s="3"/>
      <c r="AN2" s="3"/>
      <c r="AO2" s="3"/>
      <c r="AP2" s="3"/>
    </row>
    <row r="3" spans="1:47" ht="14.25" x14ac:dyDescent="0.2">
      <c r="A3" s="14"/>
      <c r="B3" s="4" t="s">
        <v>5</v>
      </c>
      <c r="C3" s="4"/>
      <c r="D3" s="4"/>
      <c r="E3" s="4"/>
      <c r="F3" s="4"/>
      <c r="G3" s="4"/>
      <c r="H3" s="4"/>
      <c r="I3" s="4"/>
      <c r="J3" s="4"/>
      <c r="K3" s="15"/>
      <c r="L3" s="16"/>
      <c r="M3" s="4" t="s">
        <v>6</v>
      </c>
      <c r="N3" s="4"/>
      <c r="O3" s="4"/>
      <c r="P3" s="4"/>
      <c r="Q3" s="4"/>
      <c r="R3" s="4"/>
      <c r="S3" s="4"/>
      <c r="T3" s="4"/>
      <c r="U3" s="4"/>
      <c r="V3" s="4"/>
      <c r="W3" s="4"/>
      <c r="X3" s="4"/>
      <c r="Y3" s="17"/>
      <c r="AB3" s="1" t="s">
        <v>7</v>
      </c>
      <c r="AC3" s="18" t="e">
        <f>ResiVersion</f>
        <v>#REF!</v>
      </c>
      <c r="AD3" s="3"/>
      <c r="AE3" s="3"/>
      <c r="AF3" s="3"/>
      <c r="AG3" s="3"/>
      <c r="AH3" s="3"/>
      <c r="AI3" s="3"/>
      <c r="AJ3" s="3"/>
      <c r="AK3" s="3"/>
      <c r="AL3" s="3"/>
      <c r="AM3" s="3"/>
      <c r="AN3" s="3"/>
      <c r="AO3" s="3"/>
      <c r="AP3" s="3"/>
    </row>
    <row r="4" spans="1:47" ht="13.5" thickBot="1" x14ac:dyDescent="0.25">
      <c r="A4" s="19"/>
      <c r="B4" s="20"/>
      <c r="C4" s="20"/>
      <c r="D4" s="20"/>
      <c r="E4" s="20"/>
      <c r="F4" s="20"/>
      <c r="G4" s="20"/>
      <c r="H4" s="20"/>
      <c r="I4" s="20"/>
      <c r="J4" s="20"/>
      <c r="K4" s="21"/>
      <c r="L4" s="22"/>
      <c r="M4" s="20"/>
      <c r="N4" s="20"/>
      <c r="O4" s="20"/>
      <c r="P4" s="20"/>
      <c r="Q4" s="20"/>
      <c r="R4" s="20"/>
      <c r="S4" s="20"/>
      <c r="T4" s="23"/>
      <c r="U4" s="20"/>
      <c r="V4" s="23"/>
      <c r="W4" s="20"/>
      <c r="X4" s="23"/>
      <c r="Y4" s="24"/>
      <c r="AB4" s="3"/>
      <c r="AC4" s="3"/>
      <c r="AD4" s="3"/>
      <c r="AE4" s="3"/>
      <c r="AF4" s="3" t="s">
        <v>9</v>
      </c>
      <c r="AG4" s="3" t="s">
        <v>10</v>
      </c>
      <c r="AH4" s="3"/>
      <c r="AI4" s="3"/>
      <c r="AJ4" s="3"/>
      <c r="AK4" s="3"/>
      <c r="AL4" s="3" t="s">
        <v>11</v>
      </c>
      <c r="AM4" s="3"/>
      <c r="AN4" s="3"/>
      <c r="AO4" s="3"/>
      <c r="AP4" s="3"/>
    </row>
    <row r="5" spans="1:47" ht="21.75" customHeight="1" thickBot="1" x14ac:dyDescent="0.25">
      <c r="A5" s="89"/>
      <c r="B5" s="90"/>
      <c r="C5" s="91" t="s">
        <v>12</v>
      </c>
      <c r="D5" s="90"/>
      <c r="E5" s="90"/>
      <c r="F5" s="90"/>
      <c r="G5" s="90"/>
      <c r="H5" s="90"/>
      <c r="I5" s="90"/>
      <c r="J5" s="90"/>
      <c r="K5" s="92"/>
      <c r="L5" s="89"/>
      <c r="M5" s="93"/>
      <c r="N5" s="94"/>
      <c r="O5" s="94"/>
      <c r="P5" s="90"/>
      <c r="Q5" s="94"/>
      <c r="R5" s="94"/>
      <c r="S5" s="90"/>
      <c r="T5" s="95"/>
      <c r="U5" s="90"/>
      <c r="V5" s="95"/>
      <c r="W5" s="90"/>
      <c r="X5" s="95"/>
      <c r="Y5" s="92"/>
      <c r="AB5" s="3"/>
      <c r="AC5" s="3"/>
      <c r="AD5" s="3"/>
      <c r="AE5" s="25" t="s">
        <v>13</v>
      </c>
      <c r="AF5" s="26">
        <v>7.0000000000000007E-2</v>
      </c>
      <c r="AG5" s="26">
        <v>7.0000000000000007E-2</v>
      </c>
      <c r="AH5" s="3"/>
      <c r="AI5" s="3"/>
      <c r="AJ5" s="3"/>
      <c r="AK5" s="3"/>
      <c r="AL5" s="27" t="s">
        <v>14</v>
      </c>
      <c r="AM5" s="28" t="s">
        <v>15</v>
      </c>
      <c r="AN5" s="29"/>
      <c r="AO5" s="29"/>
      <c r="AP5" s="3"/>
    </row>
    <row r="6" spans="1:47" s="30" customFormat="1" ht="18.75" customHeight="1" thickBot="1" x14ac:dyDescent="0.25">
      <c r="A6" s="96"/>
      <c r="B6" s="97" t="s">
        <v>77</v>
      </c>
      <c r="C6" s="94"/>
      <c r="D6" s="94"/>
      <c r="E6" s="94"/>
      <c r="F6" s="94"/>
      <c r="G6" s="94"/>
      <c r="H6" s="94"/>
      <c r="I6" s="94"/>
      <c r="J6" s="94"/>
      <c r="K6" s="98"/>
      <c r="L6" s="96"/>
      <c r="M6" s="99" t="s">
        <v>16</v>
      </c>
      <c r="N6" s="100"/>
      <c r="O6" s="100"/>
      <c r="P6" s="94"/>
      <c r="Q6" s="101" t="s">
        <v>17</v>
      </c>
      <c r="R6" s="102"/>
      <c r="S6" s="94"/>
      <c r="T6" s="99"/>
      <c r="U6" s="94"/>
      <c r="V6" s="94"/>
      <c r="W6" s="94"/>
      <c r="X6" s="103" t="str">
        <f>IF(X8=0," ",IF(OR(Q7="Quick Doc Private Lending/Resi Stock",Q7="Mid Doc Private Lending/Resi Stock"),"",IF(X8&gt;=V8,"IO period must be less than loan term"," ")))</f>
        <v xml:space="preserve"> </v>
      </c>
      <c r="Y6" s="98"/>
      <c r="AB6" s="31"/>
      <c r="AC6" s="31"/>
      <c r="AD6" s="31"/>
      <c r="AE6" s="25" t="s">
        <v>18</v>
      </c>
      <c r="AF6" s="26">
        <v>0.02</v>
      </c>
      <c r="AG6" s="26">
        <v>0.02</v>
      </c>
      <c r="AH6" s="31"/>
      <c r="AI6" s="31" t="s">
        <v>19</v>
      </c>
      <c r="AJ6" s="31"/>
      <c r="AK6" s="31"/>
      <c r="AL6" s="27" t="s">
        <v>20</v>
      </c>
      <c r="AM6" s="28" t="s">
        <v>21</v>
      </c>
      <c r="AN6" s="32"/>
      <c r="AO6" s="32"/>
      <c r="AP6" s="31"/>
    </row>
    <row r="7" spans="1:47" ht="24.75" customHeight="1" thickBot="1" x14ac:dyDescent="0.25">
      <c r="A7" s="104"/>
      <c r="B7" s="105" t="s">
        <v>22</v>
      </c>
      <c r="C7" s="94"/>
      <c r="D7" s="94"/>
      <c r="E7" s="94"/>
      <c r="F7" s="94"/>
      <c r="G7" s="94"/>
      <c r="H7" s="94"/>
      <c r="I7" s="106"/>
      <c r="J7" s="106"/>
      <c r="K7" s="107"/>
      <c r="L7" s="104"/>
      <c r="M7" s="105" t="s">
        <v>78</v>
      </c>
      <c r="N7" s="94"/>
      <c r="O7" s="94"/>
      <c r="P7" s="94"/>
      <c r="Q7" s="108"/>
      <c r="R7" s="108"/>
      <c r="S7" s="94"/>
      <c r="T7" s="109" t="s">
        <v>79</v>
      </c>
      <c r="U7" s="94"/>
      <c r="V7" s="109" t="s">
        <v>23</v>
      </c>
      <c r="W7" s="94"/>
      <c r="X7" s="109" t="s">
        <v>24</v>
      </c>
      <c r="Y7" s="107"/>
      <c r="AB7" s="33" t="s">
        <v>25</v>
      </c>
      <c r="AC7" s="33"/>
      <c r="AD7" s="33"/>
      <c r="AF7" s="33" t="s">
        <v>80</v>
      </c>
      <c r="AG7" s="32" t="s">
        <v>26</v>
      </c>
      <c r="AH7" s="31"/>
      <c r="AI7" s="31" t="s">
        <v>27</v>
      </c>
      <c r="AJ7" s="31"/>
      <c r="AK7" s="31"/>
      <c r="AL7" s="27" t="s">
        <v>28</v>
      </c>
      <c r="AM7" s="28" t="s">
        <v>29</v>
      </c>
      <c r="AN7" s="29"/>
      <c r="AO7" s="29"/>
      <c r="AP7" s="3"/>
    </row>
    <row r="8" spans="1:47" ht="18.75" customHeight="1" thickBot="1" x14ac:dyDescent="0.25">
      <c r="A8" s="104"/>
      <c r="B8" s="99" t="s">
        <v>30</v>
      </c>
      <c r="C8" s="94"/>
      <c r="D8" s="94"/>
      <c r="E8" s="94"/>
      <c r="F8" s="94"/>
      <c r="G8" s="94"/>
      <c r="H8" s="94"/>
      <c r="I8" s="94"/>
      <c r="J8" s="94"/>
      <c r="K8" s="107"/>
      <c r="L8" s="104"/>
      <c r="M8" s="105" t="str">
        <f xml:space="preserve"> F1 &amp; " Loan Amount"</f>
        <v>Thrive Loan Amount</v>
      </c>
      <c r="N8" s="82"/>
      <c r="O8" s="82"/>
      <c r="P8" s="110"/>
      <c r="Q8" s="106"/>
      <c r="R8" s="106"/>
      <c r="S8" s="110"/>
      <c r="T8" s="111"/>
      <c r="U8" s="110"/>
      <c r="V8" s="112"/>
      <c r="W8" s="110"/>
      <c r="X8" s="112"/>
      <c r="Y8" s="107"/>
      <c r="AB8" s="34">
        <f>Q8*T8</f>
        <v>0</v>
      </c>
      <c r="AC8" s="34"/>
      <c r="AD8" s="34"/>
      <c r="AF8" s="34">
        <f>Q8*(T8+AG6)</f>
        <v>0</v>
      </c>
      <c r="AG8" s="35">
        <f>IF(V8=0,0,PMT(MAX(T8+AG6,$AG$5)/12,(V8-X8)*12,-Q8,0,0)*12)</f>
        <v>0</v>
      </c>
      <c r="AH8" s="34">
        <f>AG8*12</f>
        <v>0</v>
      </c>
      <c r="AI8" s="31"/>
      <c r="AJ8" s="31"/>
      <c r="AK8" s="31"/>
      <c r="AL8" s="27" t="s">
        <v>31</v>
      </c>
      <c r="AM8" s="28" t="s">
        <v>29</v>
      </c>
      <c r="AN8" s="29"/>
      <c r="AO8" s="29"/>
      <c r="AP8" s="3"/>
    </row>
    <row r="9" spans="1:47" ht="18.75" customHeight="1" thickBot="1" x14ac:dyDescent="0.25">
      <c r="A9" s="104"/>
      <c r="B9" s="105" t="s">
        <v>32</v>
      </c>
      <c r="C9" s="94"/>
      <c r="D9" s="94"/>
      <c r="E9" s="94"/>
      <c r="F9" s="94"/>
      <c r="G9" s="94"/>
      <c r="H9" s="94"/>
      <c r="I9" s="106"/>
      <c r="J9" s="106"/>
      <c r="K9" s="107"/>
      <c r="L9" s="104"/>
      <c r="M9" s="99" t="s">
        <v>33</v>
      </c>
      <c r="N9" s="94"/>
      <c r="O9" s="94"/>
      <c r="P9" s="94"/>
      <c r="Q9" s="94"/>
      <c r="R9" s="94"/>
      <c r="S9" s="94"/>
      <c r="T9" s="94"/>
      <c r="U9" s="94"/>
      <c r="V9" s="113"/>
      <c r="W9" s="94"/>
      <c r="X9" s="113"/>
      <c r="Y9" s="107"/>
      <c r="AB9" s="31"/>
      <c r="AC9" s="31"/>
      <c r="AD9" s="31"/>
      <c r="AE9" s="31"/>
      <c r="AF9" s="31"/>
      <c r="AG9" s="34"/>
      <c r="AH9" s="34"/>
      <c r="AI9" s="31"/>
      <c r="AJ9" s="31"/>
      <c r="AK9" s="31"/>
      <c r="AL9" s="27" t="s">
        <v>34</v>
      </c>
      <c r="AM9" s="28" t="s">
        <v>29</v>
      </c>
      <c r="AN9" s="29"/>
      <c r="AO9" s="29"/>
      <c r="AP9" s="3"/>
    </row>
    <row r="10" spans="1:47" ht="18.75" customHeight="1" thickBot="1" x14ac:dyDescent="0.25">
      <c r="A10" s="104"/>
      <c r="B10" s="105" t="s">
        <v>35</v>
      </c>
      <c r="C10" s="94"/>
      <c r="D10" s="94"/>
      <c r="E10" s="94"/>
      <c r="F10" s="94"/>
      <c r="G10" s="94"/>
      <c r="H10" s="94"/>
      <c r="I10" s="106"/>
      <c r="J10" s="106"/>
      <c r="K10" s="107"/>
      <c r="L10" s="104"/>
      <c r="M10" s="99"/>
      <c r="N10" s="105" t="s">
        <v>36</v>
      </c>
      <c r="O10" s="94"/>
      <c r="P10" s="94"/>
      <c r="Q10" s="114" t="s">
        <v>37</v>
      </c>
      <c r="R10" s="114"/>
      <c r="S10" s="94"/>
      <c r="T10" s="109" t="s">
        <v>79</v>
      </c>
      <c r="U10" s="94"/>
      <c r="V10" s="109" t="s">
        <v>81</v>
      </c>
      <c r="W10" s="94"/>
      <c r="X10" s="109" t="s">
        <v>38</v>
      </c>
      <c r="Y10" s="107"/>
      <c r="AB10" s="36" t="s">
        <v>25</v>
      </c>
      <c r="AC10" s="36" t="s">
        <v>39</v>
      </c>
      <c r="AD10" s="36" t="s">
        <v>40</v>
      </c>
      <c r="AE10" s="36" t="str">
        <f>TEXT(AF6,"0.0%")&amp;" Stress"</f>
        <v>2.0% Stress</v>
      </c>
      <c r="AF10" s="36" t="str">
        <f>TEXT(AG6,"0.0%")&amp;" Stress"</f>
        <v>2.0% Stress</v>
      </c>
      <c r="AG10" s="36" t="s">
        <v>26</v>
      </c>
      <c r="AH10" s="36" t="s">
        <v>41</v>
      </c>
      <c r="AI10" s="36" t="s">
        <v>42</v>
      </c>
      <c r="AJ10" s="37" t="s">
        <v>43</v>
      </c>
      <c r="AK10" s="32"/>
      <c r="AL10" s="27" t="s">
        <v>44</v>
      </c>
      <c r="AM10" s="28" t="s">
        <v>29</v>
      </c>
      <c r="AN10" s="38" t="s">
        <v>45</v>
      </c>
      <c r="AO10" s="38"/>
      <c r="AP10" s="38" t="s">
        <v>21</v>
      </c>
      <c r="AQ10" s="38" t="s">
        <v>15</v>
      </c>
      <c r="AR10" s="38" t="s">
        <v>46</v>
      </c>
      <c r="AS10" s="38" t="s">
        <v>47</v>
      </c>
      <c r="AT10" s="38" t="s">
        <v>48</v>
      </c>
      <c r="AU10" s="38" t="s">
        <v>29</v>
      </c>
    </row>
    <row r="11" spans="1:47" ht="18.75" customHeight="1" thickBot="1" x14ac:dyDescent="0.25">
      <c r="A11" s="104"/>
      <c r="B11" s="105" t="s">
        <v>49</v>
      </c>
      <c r="C11" s="94"/>
      <c r="D11" s="94"/>
      <c r="E11" s="94"/>
      <c r="F11" s="94"/>
      <c r="G11" s="94"/>
      <c r="H11" s="94"/>
      <c r="I11" s="106"/>
      <c r="J11" s="106"/>
      <c r="K11" s="107"/>
      <c r="L11" s="104"/>
      <c r="M11" s="109">
        <v>1</v>
      </c>
      <c r="N11" s="115"/>
      <c r="O11" s="115"/>
      <c r="P11" s="94"/>
      <c r="Q11" s="116"/>
      <c r="R11" s="117"/>
      <c r="S11" s="94"/>
      <c r="T11" s="111"/>
      <c r="U11" s="94"/>
      <c r="V11" s="112"/>
      <c r="W11" s="94"/>
      <c r="X11" s="118"/>
      <c r="Y11" s="107"/>
      <c r="AB11" s="34">
        <f>Q11*T11</f>
        <v>0</v>
      </c>
      <c r="AC11" s="34">
        <f>X11*W10</f>
        <v>0</v>
      </c>
      <c r="AD11" s="34">
        <f>MAX(AB11:AC11)</f>
        <v>0</v>
      </c>
      <c r="AE11" s="34">
        <f>Q11*AF$6</f>
        <v>0</v>
      </c>
      <c r="AF11" s="34">
        <f>Q11*AG$6</f>
        <v>0</v>
      </c>
      <c r="AG11" s="39">
        <f>IF(N11=0,0,IF(Q11=0,0,IF(T11=0,0,HLOOKUP(AN11,AP$10:AU$21,AO11,FALSE))))</f>
        <v>0</v>
      </c>
      <c r="AH11" s="34">
        <f t="shared" ref="AH11:AH21" si="0">IF(V11=0,PMT(T11/12,324,-Q11,0,0)*12,PMT(T11/12,V11*12,-Q11,0,0)*12)</f>
        <v>0</v>
      </c>
      <c r="AI11" s="34">
        <f t="shared" ref="AI11:AI21" si="1">IF(V11=0,PMT(T11/12,60,-Q11,0,0)*12,PMT(T11/12,V11*12,-Q11,0,0)*12)</f>
        <v>0</v>
      </c>
      <c r="AJ11" s="34">
        <f t="shared" ref="AJ11:AJ21" si="2">PMT(T11/12,60,-Q11,Q11*0.4,0)*12</f>
        <v>0</v>
      </c>
      <c r="AK11" s="34"/>
      <c r="AL11" s="27" t="s">
        <v>43</v>
      </c>
      <c r="AM11" s="28" t="s">
        <v>48</v>
      </c>
      <c r="AN11" s="40">
        <f t="shared" ref="AN11:AN21" si="3">IF(N11=0,0,VLOOKUP(N11,AL$5:AM$13,2,FALSE))</f>
        <v>0</v>
      </c>
      <c r="AO11" s="29">
        <v>2</v>
      </c>
      <c r="AP11" s="34">
        <f t="shared" ref="AP11:AP21" si="4">MAX(AB11,AC11)+AE11</f>
        <v>0</v>
      </c>
      <c r="AQ11" s="34">
        <f t="shared" ref="AQ11:AQ21" si="5">MAX(AC11,AH11)+AE11</f>
        <v>0</v>
      </c>
      <c r="AR11" s="34">
        <f t="shared" ref="AR11:AR21" si="6">MAX(AC11,AI11)+AE11</f>
        <v>0</v>
      </c>
      <c r="AS11" s="34">
        <f t="shared" ref="AS11:AS21" si="7">MAX(AC11,AI11)</f>
        <v>0</v>
      </c>
      <c r="AT11" s="34">
        <f t="shared" ref="AT11:AT21" si="8">MAX(AC11,AJ11)</f>
        <v>0</v>
      </c>
      <c r="AU11" s="34">
        <f>MAX(AB11,AC11)+AF11</f>
        <v>0</v>
      </c>
    </row>
    <row r="12" spans="1:47" ht="18.75" customHeight="1" thickBot="1" x14ac:dyDescent="0.25">
      <c r="A12" s="104"/>
      <c r="B12" s="119" t="s">
        <v>50</v>
      </c>
      <c r="C12" s="94"/>
      <c r="D12" s="94"/>
      <c r="E12" s="94"/>
      <c r="F12" s="94"/>
      <c r="G12" s="94"/>
      <c r="H12" s="94"/>
      <c r="I12" s="106"/>
      <c r="J12" s="106"/>
      <c r="K12" s="107"/>
      <c r="L12" s="104"/>
      <c r="M12" s="109">
        <v>2</v>
      </c>
      <c r="N12" s="120"/>
      <c r="O12" s="120"/>
      <c r="P12" s="94"/>
      <c r="Q12" s="106"/>
      <c r="R12" s="121"/>
      <c r="S12" s="94"/>
      <c r="T12" s="111"/>
      <c r="U12" s="94"/>
      <c r="V12" s="112"/>
      <c r="W12" s="94"/>
      <c r="X12" s="118"/>
      <c r="Y12" s="107"/>
      <c r="AB12" s="34">
        <f>Q12*T12</f>
        <v>0</v>
      </c>
      <c r="AC12" s="34">
        <f>X12*12</f>
        <v>0</v>
      </c>
      <c r="AD12" s="34">
        <f t="shared" ref="AD12:AD21" si="9">MAX(AB12:AC12)</f>
        <v>0</v>
      </c>
      <c r="AE12" s="34">
        <f t="shared" ref="AE12:AE21" si="10">Q12*AF$6</f>
        <v>0</v>
      </c>
      <c r="AF12" s="34">
        <f t="shared" ref="AF12:AF21" si="11">Q12*AG$6</f>
        <v>0</v>
      </c>
      <c r="AG12" s="39">
        <f t="shared" ref="AG12:AG21" si="12">IF(N12=0,0,IF(Q12=0,0,IF(T12=0,0,HLOOKUP(AN12,AP$10:AU$21,AO12,FALSE))))</f>
        <v>0</v>
      </c>
      <c r="AH12" s="34">
        <f t="shared" si="0"/>
        <v>0</v>
      </c>
      <c r="AI12" s="34">
        <f t="shared" si="1"/>
        <v>0</v>
      </c>
      <c r="AJ12" s="34">
        <f t="shared" si="2"/>
        <v>0</v>
      </c>
      <c r="AK12" s="34"/>
      <c r="AL12" s="27" t="s">
        <v>51</v>
      </c>
      <c r="AM12" s="28" t="s">
        <v>46</v>
      </c>
      <c r="AN12" s="40">
        <f t="shared" si="3"/>
        <v>0</v>
      </c>
      <c r="AO12" s="29">
        <v>3</v>
      </c>
      <c r="AP12" s="34">
        <f t="shared" si="4"/>
        <v>0</v>
      </c>
      <c r="AQ12" s="34">
        <f t="shared" si="5"/>
        <v>0</v>
      </c>
      <c r="AR12" s="34">
        <f t="shared" si="6"/>
        <v>0</v>
      </c>
      <c r="AS12" s="34">
        <f t="shared" si="7"/>
        <v>0</v>
      </c>
      <c r="AT12" s="34">
        <f t="shared" si="8"/>
        <v>0</v>
      </c>
      <c r="AU12" s="34">
        <f t="shared" ref="AU12:AU21" si="13">MAX(AB12,AC12)+AF12</f>
        <v>0</v>
      </c>
    </row>
    <row r="13" spans="1:47" ht="18.75" customHeight="1" thickBot="1" x14ac:dyDescent="0.25">
      <c r="A13" s="104"/>
      <c r="B13" s="119" t="s">
        <v>52</v>
      </c>
      <c r="C13" s="94"/>
      <c r="D13" s="94"/>
      <c r="E13" s="94"/>
      <c r="F13" s="94"/>
      <c r="G13" s="94"/>
      <c r="H13" s="94"/>
      <c r="I13" s="106"/>
      <c r="J13" s="106"/>
      <c r="K13" s="107"/>
      <c r="L13" s="104"/>
      <c r="M13" s="109">
        <v>3</v>
      </c>
      <c r="N13" s="120"/>
      <c r="O13" s="120"/>
      <c r="P13" s="94"/>
      <c r="Q13" s="106"/>
      <c r="R13" s="121"/>
      <c r="S13" s="94"/>
      <c r="T13" s="111"/>
      <c r="U13" s="94"/>
      <c r="V13" s="112"/>
      <c r="W13" s="94"/>
      <c r="X13" s="118"/>
      <c r="Y13" s="107"/>
      <c r="AB13" s="34">
        <f>Q13*T13</f>
        <v>0</v>
      </c>
      <c r="AC13" s="34">
        <f>X13*12</f>
        <v>0</v>
      </c>
      <c r="AD13" s="34">
        <f t="shared" si="9"/>
        <v>0</v>
      </c>
      <c r="AE13" s="34">
        <f t="shared" si="10"/>
        <v>0</v>
      </c>
      <c r="AF13" s="34">
        <f t="shared" si="11"/>
        <v>0</v>
      </c>
      <c r="AG13" s="39">
        <f t="shared" si="12"/>
        <v>0</v>
      </c>
      <c r="AH13" s="34">
        <f t="shared" si="0"/>
        <v>0</v>
      </c>
      <c r="AI13" s="34">
        <f t="shared" si="1"/>
        <v>0</v>
      </c>
      <c r="AJ13" s="34">
        <f t="shared" si="2"/>
        <v>0</v>
      </c>
      <c r="AK13" s="34"/>
      <c r="AL13" s="27" t="s">
        <v>53</v>
      </c>
      <c r="AM13" s="28" t="s">
        <v>47</v>
      </c>
      <c r="AN13" s="40">
        <f t="shared" si="3"/>
        <v>0</v>
      </c>
      <c r="AO13" s="29">
        <v>4</v>
      </c>
      <c r="AP13" s="34">
        <f t="shared" si="4"/>
        <v>0</v>
      </c>
      <c r="AQ13" s="34">
        <f t="shared" si="5"/>
        <v>0</v>
      </c>
      <c r="AR13" s="34">
        <f t="shared" si="6"/>
        <v>0</v>
      </c>
      <c r="AS13" s="34">
        <f t="shared" si="7"/>
        <v>0</v>
      </c>
      <c r="AT13" s="34">
        <f t="shared" si="8"/>
        <v>0</v>
      </c>
      <c r="AU13" s="34">
        <f t="shared" si="13"/>
        <v>0</v>
      </c>
    </row>
    <row r="14" spans="1:47" ht="18.75" customHeight="1" thickBot="1" x14ac:dyDescent="0.25">
      <c r="A14" s="104"/>
      <c r="B14" s="119" t="s">
        <v>54</v>
      </c>
      <c r="C14" s="94"/>
      <c r="D14" s="122"/>
      <c r="E14" s="122"/>
      <c r="F14" s="122"/>
      <c r="G14" s="122"/>
      <c r="H14" s="94"/>
      <c r="I14" s="106"/>
      <c r="J14" s="106"/>
      <c r="K14" s="107"/>
      <c r="L14" s="104"/>
      <c r="M14" s="109">
        <v>4</v>
      </c>
      <c r="N14" s="120"/>
      <c r="O14" s="120"/>
      <c r="P14" s="94"/>
      <c r="Q14" s="106"/>
      <c r="R14" s="121"/>
      <c r="S14" s="94"/>
      <c r="T14" s="111"/>
      <c r="U14" s="94"/>
      <c r="V14" s="112"/>
      <c r="W14" s="94"/>
      <c r="X14" s="118"/>
      <c r="Y14" s="107"/>
      <c r="AB14" s="34">
        <f>Q14*T14</f>
        <v>0</v>
      </c>
      <c r="AC14" s="34">
        <f>X14*12</f>
        <v>0</v>
      </c>
      <c r="AD14" s="34">
        <f t="shared" si="9"/>
        <v>0</v>
      </c>
      <c r="AE14" s="34">
        <f t="shared" si="10"/>
        <v>0</v>
      </c>
      <c r="AF14" s="34">
        <f t="shared" si="11"/>
        <v>0</v>
      </c>
      <c r="AG14" s="39">
        <f t="shared" si="12"/>
        <v>0</v>
      </c>
      <c r="AH14" s="34">
        <f t="shared" si="0"/>
        <v>0</v>
      </c>
      <c r="AI14" s="34">
        <f t="shared" si="1"/>
        <v>0</v>
      </c>
      <c r="AJ14" s="34">
        <f t="shared" si="2"/>
        <v>0</v>
      </c>
      <c r="AK14" s="34"/>
      <c r="AL14" s="3"/>
      <c r="AM14" s="3"/>
      <c r="AN14" s="41">
        <f t="shared" si="3"/>
        <v>0</v>
      </c>
      <c r="AO14" s="29">
        <v>5</v>
      </c>
      <c r="AP14" s="34">
        <f t="shared" si="4"/>
        <v>0</v>
      </c>
      <c r="AQ14" s="34">
        <f t="shared" si="5"/>
        <v>0</v>
      </c>
      <c r="AR14" s="34">
        <f t="shared" si="6"/>
        <v>0</v>
      </c>
      <c r="AS14" s="34">
        <f t="shared" si="7"/>
        <v>0</v>
      </c>
      <c r="AT14" s="34">
        <f t="shared" si="8"/>
        <v>0</v>
      </c>
      <c r="AU14" s="34">
        <f t="shared" si="13"/>
        <v>0</v>
      </c>
    </row>
    <row r="15" spans="1:47" ht="18.75" customHeight="1" thickBot="1" x14ac:dyDescent="0.25">
      <c r="A15" s="104"/>
      <c r="B15" s="119" t="s">
        <v>54</v>
      </c>
      <c r="C15" s="94"/>
      <c r="D15" s="122"/>
      <c r="E15" s="122"/>
      <c r="F15" s="122"/>
      <c r="G15" s="122"/>
      <c r="H15" s="94"/>
      <c r="I15" s="106"/>
      <c r="J15" s="106"/>
      <c r="K15" s="107"/>
      <c r="L15" s="104"/>
      <c r="M15" s="109">
        <v>5</v>
      </c>
      <c r="N15" s="120"/>
      <c r="O15" s="120"/>
      <c r="P15" s="94"/>
      <c r="Q15" s="106"/>
      <c r="R15" s="121"/>
      <c r="S15" s="94"/>
      <c r="T15" s="111"/>
      <c r="U15" s="94"/>
      <c r="V15" s="112"/>
      <c r="W15" s="94"/>
      <c r="X15" s="118"/>
      <c r="Y15" s="107"/>
      <c r="AB15" s="34">
        <f>Q15*T15</f>
        <v>0</v>
      </c>
      <c r="AC15" s="34">
        <f>X15*12</f>
        <v>0</v>
      </c>
      <c r="AD15" s="34">
        <f t="shared" si="9"/>
        <v>0</v>
      </c>
      <c r="AE15" s="34">
        <f t="shared" si="10"/>
        <v>0</v>
      </c>
      <c r="AF15" s="34">
        <f t="shared" si="11"/>
        <v>0</v>
      </c>
      <c r="AG15" s="39">
        <f t="shared" si="12"/>
        <v>0</v>
      </c>
      <c r="AH15" s="34">
        <f t="shared" si="0"/>
        <v>0</v>
      </c>
      <c r="AI15" s="34">
        <f t="shared" si="1"/>
        <v>0</v>
      </c>
      <c r="AJ15" s="34">
        <f t="shared" si="2"/>
        <v>0</v>
      </c>
      <c r="AK15" s="34"/>
      <c r="AL15" s="3"/>
      <c r="AM15" s="3"/>
      <c r="AN15" s="41">
        <f t="shared" si="3"/>
        <v>0</v>
      </c>
      <c r="AO15" s="29">
        <v>6</v>
      </c>
      <c r="AP15" s="34">
        <f t="shared" si="4"/>
        <v>0</v>
      </c>
      <c r="AQ15" s="34">
        <f t="shared" si="5"/>
        <v>0</v>
      </c>
      <c r="AR15" s="34">
        <f t="shared" si="6"/>
        <v>0</v>
      </c>
      <c r="AS15" s="34">
        <f t="shared" si="7"/>
        <v>0</v>
      </c>
      <c r="AT15" s="34">
        <f t="shared" si="8"/>
        <v>0</v>
      </c>
      <c r="AU15" s="34">
        <f t="shared" si="13"/>
        <v>0</v>
      </c>
    </row>
    <row r="16" spans="1:47" ht="18.75" customHeight="1" thickBot="1" x14ac:dyDescent="0.25">
      <c r="A16" s="104"/>
      <c r="B16" s="99" t="s">
        <v>55</v>
      </c>
      <c r="C16" s="123"/>
      <c r="D16" s="109"/>
      <c r="E16" s="109"/>
      <c r="F16" s="109"/>
      <c r="G16" s="109"/>
      <c r="H16" s="94"/>
      <c r="I16" s="42">
        <f>SUM(I9:J15)</f>
        <v>0</v>
      </c>
      <c r="J16" s="43"/>
      <c r="K16" s="107"/>
      <c r="L16" s="104"/>
      <c r="M16" s="109">
        <v>6</v>
      </c>
      <c r="N16" s="120"/>
      <c r="O16" s="120"/>
      <c r="P16" s="94"/>
      <c r="Q16" s="106"/>
      <c r="R16" s="121"/>
      <c r="S16" s="94"/>
      <c r="T16" s="111"/>
      <c r="U16" s="94"/>
      <c r="V16" s="112"/>
      <c r="W16" s="94"/>
      <c r="X16" s="118"/>
      <c r="Y16" s="107"/>
      <c r="AB16" s="34">
        <f t="shared" ref="AB16:AB21" si="14">Q16*T16</f>
        <v>0</v>
      </c>
      <c r="AC16" s="34">
        <f t="shared" ref="AC16:AC21" si="15">X16*12</f>
        <v>0</v>
      </c>
      <c r="AD16" s="34">
        <f t="shared" si="9"/>
        <v>0</v>
      </c>
      <c r="AE16" s="34">
        <f t="shared" si="10"/>
        <v>0</v>
      </c>
      <c r="AF16" s="34">
        <f t="shared" si="11"/>
        <v>0</v>
      </c>
      <c r="AG16" s="39">
        <f t="shared" si="12"/>
        <v>0</v>
      </c>
      <c r="AH16" s="34">
        <f t="shared" si="0"/>
        <v>0</v>
      </c>
      <c r="AI16" s="34">
        <f t="shared" si="1"/>
        <v>0</v>
      </c>
      <c r="AJ16" s="34">
        <f t="shared" si="2"/>
        <v>0</v>
      </c>
      <c r="AK16" s="31"/>
      <c r="AL16" s="3"/>
      <c r="AM16" s="3"/>
      <c r="AN16" s="41">
        <f t="shared" si="3"/>
        <v>0</v>
      </c>
      <c r="AO16" s="29">
        <v>7</v>
      </c>
      <c r="AP16" s="34">
        <f t="shared" si="4"/>
        <v>0</v>
      </c>
      <c r="AQ16" s="34">
        <f t="shared" si="5"/>
        <v>0</v>
      </c>
      <c r="AR16" s="34">
        <f t="shared" si="6"/>
        <v>0</v>
      </c>
      <c r="AS16" s="34">
        <f t="shared" si="7"/>
        <v>0</v>
      </c>
      <c r="AT16" s="34">
        <f t="shared" si="8"/>
        <v>0</v>
      </c>
      <c r="AU16" s="34">
        <f t="shared" si="13"/>
        <v>0</v>
      </c>
    </row>
    <row r="17" spans="1:47" ht="18.75" customHeight="1" thickBot="1" x14ac:dyDescent="0.25">
      <c r="A17" s="104"/>
      <c r="B17" s="93" t="s">
        <v>56</v>
      </c>
      <c r="C17" s="109"/>
      <c r="D17" s="109"/>
      <c r="E17" s="109"/>
      <c r="F17" s="109"/>
      <c r="G17" s="109"/>
      <c r="H17" s="94"/>
      <c r="I17" s="44">
        <f>I16+I7</f>
        <v>0</v>
      </c>
      <c r="J17" s="43"/>
      <c r="K17" s="107"/>
      <c r="L17" s="104"/>
      <c r="M17" s="109">
        <v>7</v>
      </c>
      <c r="N17" s="120"/>
      <c r="O17" s="120"/>
      <c r="P17" s="94"/>
      <c r="Q17" s="106"/>
      <c r="R17" s="121"/>
      <c r="S17" s="94"/>
      <c r="T17" s="111"/>
      <c r="U17" s="94"/>
      <c r="V17" s="112"/>
      <c r="W17" s="94"/>
      <c r="X17" s="118"/>
      <c r="Y17" s="107"/>
      <c r="AB17" s="34">
        <f t="shared" si="14"/>
        <v>0</v>
      </c>
      <c r="AC17" s="34">
        <f t="shared" si="15"/>
        <v>0</v>
      </c>
      <c r="AD17" s="34">
        <f t="shared" si="9"/>
        <v>0</v>
      </c>
      <c r="AE17" s="34">
        <f t="shared" si="10"/>
        <v>0</v>
      </c>
      <c r="AF17" s="34">
        <f t="shared" si="11"/>
        <v>0</v>
      </c>
      <c r="AG17" s="39">
        <f t="shared" si="12"/>
        <v>0</v>
      </c>
      <c r="AH17" s="34">
        <f t="shared" si="0"/>
        <v>0</v>
      </c>
      <c r="AI17" s="34">
        <f t="shared" si="1"/>
        <v>0</v>
      </c>
      <c r="AJ17" s="34">
        <f t="shared" si="2"/>
        <v>0</v>
      </c>
      <c r="AK17" s="31"/>
      <c r="AL17" s="3"/>
      <c r="AM17" s="3"/>
      <c r="AN17" s="41">
        <f t="shared" si="3"/>
        <v>0</v>
      </c>
      <c r="AO17" s="29">
        <v>8</v>
      </c>
      <c r="AP17" s="34">
        <f t="shared" si="4"/>
        <v>0</v>
      </c>
      <c r="AQ17" s="34">
        <f t="shared" si="5"/>
        <v>0</v>
      </c>
      <c r="AR17" s="34">
        <f t="shared" si="6"/>
        <v>0</v>
      </c>
      <c r="AS17" s="34">
        <f t="shared" si="7"/>
        <v>0</v>
      </c>
      <c r="AT17" s="34">
        <f t="shared" si="8"/>
        <v>0</v>
      </c>
      <c r="AU17" s="34">
        <f t="shared" si="13"/>
        <v>0</v>
      </c>
    </row>
    <row r="18" spans="1:47" ht="18.75" customHeight="1" thickBot="1" x14ac:dyDescent="0.25">
      <c r="A18" s="104"/>
      <c r="B18" s="109"/>
      <c r="C18" s="109"/>
      <c r="D18" s="109"/>
      <c r="E18" s="109"/>
      <c r="F18" s="109"/>
      <c r="G18" s="109"/>
      <c r="H18" s="94"/>
      <c r="I18" s="94"/>
      <c r="J18" s="94"/>
      <c r="K18" s="107"/>
      <c r="L18" s="104"/>
      <c r="M18" s="109">
        <v>8</v>
      </c>
      <c r="N18" s="120"/>
      <c r="O18" s="120"/>
      <c r="P18" s="94"/>
      <c r="Q18" s="106"/>
      <c r="R18" s="121"/>
      <c r="S18" s="94"/>
      <c r="T18" s="111"/>
      <c r="U18" s="94"/>
      <c r="V18" s="112"/>
      <c r="W18" s="94"/>
      <c r="X18" s="118"/>
      <c r="Y18" s="107"/>
      <c r="AB18" s="34">
        <f t="shared" si="14"/>
        <v>0</v>
      </c>
      <c r="AC18" s="34">
        <f t="shared" si="15"/>
        <v>0</v>
      </c>
      <c r="AD18" s="34">
        <f t="shared" si="9"/>
        <v>0</v>
      </c>
      <c r="AE18" s="34">
        <f t="shared" si="10"/>
        <v>0</v>
      </c>
      <c r="AF18" s="34">
        <f t="shared" si="11"/>
        <v>0</v>
      </c>
      <c r="AG18" s="39">
        <f t="shared" si="12"/>
        <v>0</v>
      </c>
      <c r="AH18" s="34">
        <f t="shared" si="0"/>
        <v>0</v>
      </c>
      <c r="AI18" s="34">
        <f t="shared" si="1"/>
        <v>0</v>
      </c>
      <c r="AJ18" s="34">
        <f t="shared" si="2"/>
        <v>0</v>
      </c>
      <c r="AK18" s="31"/>
      <c r="AL18" s="3"/>
      <c r="AM18" s="3"/>
      <c r="AN18" s="41">
        <f t="shared" si="3"/>
        <v>0</v>
      </c>
      <c r="AO18" s="29">
        <v>9</v>
      </c>
      <c r="AP18" s="34">
        <f t="shared" si="4"/>
        <v>0</v>
      </c>
      <c r="AQ18" s="34">
        <f t="shared" si="5"/>
        <v>0</v>
      </c>
      <c r="AR18" s="34">
        <f t="shared" si="6"/>
        <v>0</v>
      </c>
      <c r="AS18" s="34">
        <f t="shared" si="7"/>
        <v>0</v>
      </c>
      <c r="AT18" s="34">
        <f t="shared" si="8"/>
        <v>0</v>
      </c>
      <c r="AU18" s="34">
        <f t="shared" si="13"/>
        <v>0</v>
      </c>
    </row>
    <row r="19" spans="1:47" ht="16.5" thickBot="1" x14ac:dyDescent="0.25">
      <c r="A19" s="104"/>
      <c r="B19" s="97" t="s">
        <v>82</v>
      </c>
      <c r="C19" s="109"/>
      <c r="D19" s="109"/>
      <c r="E19" s="109"/>
      <c r="F19" s="109"/>
      <c r="G19" s="109"/>
      <c r="H19" s="94"/>
      <c r="I19" s="94"/>
      <c r="J19" s="94"/>
      <c r="K19" s="107"/>
      <c r="L19" s="104"/>
      <c r="M19" s="109">
        <v>9</v>
      </c>
      <c r="N19" s="120"/>
      <c r="O19" s="120"/>
      <c r="P19" s="94"/>
      <c r="Q19" s="106"/>
      <c r="R19" s="121"/>
      <c r="S19" s="94"/>
      <c r="T19" s="111"/>
      <c r="U19" s="94"/>
      <c r="V19" s="112"/>
      <c r="W19" s="94"/>
      <c r="X19" s="118"/>
      <c r="Y19" s="107"/>
      <c r="AB19" s="34">
        <f t="shared" si="14"/>
        <v>0</v>
      </c>
      <c r="AC19" s="34">
        <f t="shared" si="15"/>
        <v>0</v>
      </c>
      <c r="AD19" s="34">
        <f t="shared" si="9"/>
        <v>0</v>
      </c>
      <c r="AE19" s="34">
        <f t="shared" si="10"/>
        <v>0</v>
      </c>
      <c r="AF19" s="34">
        <f t="shared" si="11"/>
        <v>0</v>
      </c>
      <c r="AG19" s="39">
        <f t="shared" si="12"/>
        <v>0</v>
      </c>
      <c r="AH19" s="34">
        <f t="shared" si="0"/>
        <v>0</v>
      </c>
      <c r="AI19" s="34">
        <f t="shared" si="1"/>
        <v>0</v>
      </c>
      <c r="AJ19" s="34">
        <f t="shared" si="2"/>
        <v>0</v>
      </c>
      <c r="AK19" s="3"/>
      <c r="AL19" s="3"/>
      <c r="AM19" s="3"/>
      <c r="AN19" s="41">
        <f t="shared" si="3"/>
        <v>0</v>
      </c>
      <c r="AO19" s="29">
        <v>10</v>
      </c>
      <c r="AP19" s="34">
        <f t="shared" si="4"/>
        <v>0</v>
      </c>
      <c r="AQ19" s="34">
        <f t="shared" si="5"/>
        <v>0</v>
      </c>
      <c r="AR19" s="34">
        <f t="shared" si="6"/>
        <v>0</v>
      </c>
      <c r="AS19" s="34">
        <f t="shared" si="7"/>
        <v>0</v>
      </c>
      <c r="AT19" s="34">
        <f t="shared" si="8"/>
        <v>0</v>
      </c>
      <c r="AU19" s="34">
        <f t="shared" si="13"/>
        <v>0</v>
      </c>
    </row>
    <row r="20" spans="1:47" ht="18.75" customHeight="1" thickBot="1" x14ac:dyDescent="0.25">
      <c r="A20" s="104"/>
      <c r="B20" s="105" t="s">
        <v>57</v>
      </c>
      <c r="C20" s="94"/>
      <c r="D20" s="94"/>
      <c r="E20" s="94"/>
      <c r="F20" s="94"/>
      <c r="G20" s="94"/>
      <c r="H20" s="94"/>
      <c r="I20" s="124"/>
      <c r="J20" s="124"/>
      <c r="K20" s="107"/>
      <c r="L20" s="104"/>
      <c r="M20" s="109">
        <v>10</v>
      </c>
      <c r="N20" s="120"/>
      <c r="O20" s="120"/>
      <c r="P20" s="94"/>
      <c r="Q20" s="106"/>
      <c r="R20" s="121"/>
      <c r="S20" s="94"/>
      <c r="T20" s="111"/>
      <c r="U20" s="94"/>
      <c r="V20" s="112"/>
      <c r="W20" s="94"/>
      <c r="X20" s="118"/>
      <c r="Y20" s="107"/>
      <c r="AB20" s="34">
        <f t="shared" si="14"/>
        <v>0</v>
      </c>
      <c r="AC20" s="34">
        <f t="shared" si="15"/>
        <v>0</v>
      </c>
      <c r="AD20" s="34">
        <f t="shared" si="9"/>
        <v>0</v>
      </c>
      <c r="AE20" s="34">
        <f t="shared" si="10"/>
        <v>0</v>
      </c>
      <c r="AF20" s="34">
        <f t="shared" si="11"/>
        <v>0</v>
      </c>
      <c r="AG20" s="39">
        <f t="shared" si="12"/>
        <v>0</v>
      </c>
      <c r="AH20" s="34">
        <f t="shared" si="0"/>
        <v>0</v>
      </c>
      <c r="AI20" s="34">
        <f t="shared" si="1"/>
        <v>0</v>
      </c>
      <c r="AJ20" s="34">
        <f t="shared" si="2"/>
        <v>0</v>
      </c>
      <c r="AK20" s="3"/>
      <c r="AL20" s="3"/>
      <c r="AM20" s="3"/>
      <c r="AN20" s="41">
        <f t="shared" si="3"/>
        <v>0</v>
      </c>
      <c r="AO20" s="29">
        <v>11</v>
      </c>
      <c r="AP20" s="34">
        <f t="shared" si="4"/>
        <v>0</v>
      </c>
      <c r="AQ20" s="34">
        <f t="shared" si="5"/>
        <v>0</v>
      </c>
      <c r="AR20" s="34">
        <f t="shared" si="6"/>
        <v>0</v>
      </c>
      <c r="AS20" s="34">
        <f t="shared" si="7"/>
        <v>0</v>
      </c>
      <c r="AT20" s="34">
        <f t="shared" si="8"/>
        <v>0</v>
      </c>
      <c r="AU20" s="34">
        <f t="shared" si="13"/>
        <v>0</v>
      </c>
    </row>
    <row r="21" spans="1:47" ht="18.75" customHeight="1" thickBot="1" x14ac:dyDescent="0.25">
      <c r="A21" s="104"/>
      <c r="B21" s="105" t="s">
        <v>58</v>
      </c>
      <c r="C21" s="94"/>
      <c r="D21" s="94"/>
      <c r="E21" s="94"/>
      <c r="F21" s="94"/>
      <c r="G21" s="94"/>
      <c r="H21" s="94"/>
      <c r="I21" s="124"/>
      <c r="J21" s="124"/>
      <c r="K21" s="107"/>
      <c r="L21" s="104"/>
      <c r="M21" s="109">
        <v>11</v>
      </c>
      <c r="N21" s="120"/>
      <c r="O21" s="120"/>
      <c r="P21" s="94"/>
      <c r="Q21" s="106"/>
      <c r="R21" s="121"/>
      <c r="S21" s="94"/>
      <c r="T21" s="111"/>
      <c r="U21" s="94"/>
      <c r="V21" s="112"/>
      <c r="W21" s="94"/>
      <c r="X21" s="118"/>
      <c r="Y21" s="107"/>
      <c r="AB21" s="34">
        <f t="shared" si="14"/>
        <v>0</v>
      </c>
      <c r="AC21" s="34">
        <f t="shared" si="15"/>
        <v>0</v>
      </c>
      <c r="AD21" s="34">
        <f t="shared" si="9"/>
        <v>0</v>
      </c>
      <c r="AE21" s="34">
        <f t="shared" si="10"/>
        <v>0</v>
      </c>
      <c r="AF21" s="34">
        <f t="shared" si="11"/>
        <v>0</v>
      </c>
      <c r="AG21" s="39">
        <f t="shared" si="12"/>
        <v>0</v>
      </c>
      <c r="AH21" s="34">
        <f t="shared" si="0"/>
        <v>0</v>
      </c>
      <c r="AI21" s="34">
        <f t="shared" si="1"/>
        <v>0</v>
      </c>
      <c r="AJ21" s="34">
        <f t="shared" si="2"/>
        <v>0</v>
      </c>
      <c r="AK21" s="3"/>
      <c r="AL21" s="3"/>
      <c r="AM21" s="3"/>
      <c r="AN21" s="41">
        <f t="shared" si="3"/>
        <v>0</v>
      </c>
      <c r="AO21" s="29">
        <v>12</v>
      </c>
      <c r="AP21" s="34">
        <f t="shared" si="4"/>
        <v>0</v>
      </c>
      <c r="AQ21" s="34">
        <f t="shared" si="5"/>
        <v>0</v>
      </c>
      <c r="AR21" s="34">
        <f t="shared" si="6"/>
        <v>0</v>
      </c>
      <c r="AS21" s="34">
        <f t="shared" si="7"/>
        <v>0</v>
      </c>
      <c r="AT21" s="34">
        <f t="shared" si="8"/>
        <v>0</v>
      </c>
      <c r="AU21" s="34">
        <f t="shared" si="13"/>
        <v>0</v>
      </c>
    </row>
    <row r="22" spans="1:47" ht="18.75" customHeight="1" thickBot="1" x14ac:dyDescent="0.25">
      <c r="A22" s="104"/>
      <c r="B22" s="119" t="s">
        <v>83</v>
      </c>
      <c r="C22" s="94"/>
      <c r="D22" s="94"/>
      <c r="E22" s="94"/>
      <c r="F22" s="94"/>
      <c r="G22" s="94"/>
      <c r="H22" s="125"/>
      <c r="I22" s="124"/>
      <c r="J22" s="124"/>
      <c r="K22" s="107"/>
      <c r="L22" s="104"/>
      <c r="M22" s="109">
        <v>12</v>
      </c>
      <c r="N22" s="126" t="s">
        <v>59</v>
      </c>
      <c r="O22" s="94"/>
      <c r="P22" s="94"/>
      <c r="Q22" s="106"/>
      <c r="R22" s="121"/>
      <c r="S22" s="94"/>
      <c r="T22" s="127" t="s">
        <v>84</v>
      </c>
      <c r="U22" s="94"/>
      <c r="V22" s="94"/>
      <c r="W22" s="94"/>
      <c r="X22" s="94"/>
      <c r="Y22" s="107"/>
      <c r="AB22" s="34">
        <f>Q22*AC22</f>
        <v>0</v>
      </c>
      <c r="AC22" s="45">
        <v>0.2</v>
      </c>
      <c r="AD22" s="34">
        <f>AB22</f>
        <v>0</v>
      </c>
      <c r="AE22" s="31"/>
      <c r="AF22" s="31"/>
      <c r="AG22" s="35">
        <f>AC23*Q22*12</f>
        <v>0</v>
      </c>
      <c r="AH22" s="46"/>
      <c r="AI22" s="3"/>
      <c r="AJ22" s="3"/>
      <c r="AK22" s="3"/>
      <c r="AL22" s="3"/>
      <c r="AM22" s="3"/>
      <c r="AN22" s="3"/>
      <c r="AO22" s="3"/>
      <c r="AP22" s="3"/>
    </row>
    <row r="23" spans="1:47" ht="18.75" customHeight="1" thickBot="1" x14ac:dyDescent="0.25">
      <c r="A23" s="104"/>
      <c r="B23" s="119" t="s">
        <v>83</v>
      </c>
      <c r="C23" s="94"/>
      <c r="D23" s="94"/>
      <c r="E23" s="94"/>
      <c r="F23" s="94"/>
      <c r="G23" s="94"/>
      <c r="H23" s="125"/>
      <c r="I23" s="124"/>
      <c r="J23" s="124"/>
      <c r="K23" s="107"/>
      <c r="L23" s="104"/>
      <c r="M23" s="81"/>
      <c r="N23" s="81"/>
      <c r="O23" s="81"/>
      <c r="P23" s="81"/>
      <c r="Q23" s="81"/>
      <c r="R23" s="81"/>
      <c r="S23" s="81"/>
      <c r="T23" s="81"/>
      <c r="U23" s="81"/>
      <c r="V23" s="81"/>
      <c r="W23" s="81"/>
      <c r="X23" s="81"/>
      <c r="Y23" s="107"/>
      <c r="AB23" s="47">
        <f>SUM(AB11:AB22)+AB8</f>
        <v>0</v>
      </c>
      <c r="AC23" s="45">
        <v>3.9E-2</v>
      </c>
      <c r="AD23" s="31"/>
      <c r="AE23" s="31"/>
      <c r="AF23" s="31"/>
      <c r="AG23" s="47">
        <f>SUM(AG11:AG22)+AG8</f>
        <v>0</v>
      </c>
      <c r="AH23" s="48"/>
      <c r="AI23" s="49"/>
      <c r="AJ23" s="3"/>
      <c r="AK23" s="3"/>
      <c r="AL23" s="3"/>
      <c r="AM23" s="3"/>
      <c r="AN23" s="3"/>
      <c r="AO23" s="3"/>
      <c r="AP23" s="3"/>
    </row>
    <row r="24" spans="1:47" ht="18.75" customHeight="1" thickBot="1" x14ac:dyDescent="0.25">
      <c r="A24" s="104"/>
      <c r="B24" s="119" t="s">
        <v>85</v>
      </c>
      <c r="C24" s="94"/>
      <c r="D24" s="94"/>
      <c r="E24" s="94"/>
      <c r="F24" s="94"/>
      <c r="G24" s="94"/>
      <c r="H24" s="125"/>
      <c r="I24" s="124"/>
      <c r="J24" s="124"/>
      <c r="K24" s="128" t="s">
        <v>60</v>
      </c>
      <c r="L24" s="104"/>
      <c r="M24" s="93" t="s">
        <v>61</v>
      </c>
      <c r="N24" s="94"/>
      <c r="O24" s="94"/>
      <c r="P24" s="94"/>
      <c r="Q24" s="50">
        <f>SUM(Q11:R22)+Q8</f>
        <v>0</v>
      </c>
      <c r="R24" s="51"/>
      <c r="S24" s="94"/>
      <c r="T24" s="94"/>
      <c r="U24" s="94"/>
      <c r="V24" s="94"/>
      <c r="W24" s="94"/>
      <c r="X24" s="94"/>
      <c r="Y24" s="107"/>
      <c r="AB24" s="3"/>
      <c r="AC24" s="3"/>
      <c r="AD24" s="3"/>
      <c r="AE24" s="3"/>
      <c r="AF24" s="3"/>
      <c r="AG24" s="48"/>
      <c r="AH24" s="3"/>
      <c r="AI24" s="3"/>
      <c r="AJ24" s="3"/>
      <c r="AK24" s="3"/>
      <c r="AL24" s="3"/>
      <c r="AM24" s="3"/>
      <c r="AN24" s="3"/>
      <c r="AO24" s="3"/>
      <c r="AP24" s="3"/>
    </row>
    <row r="25" spans="1:47" ht="18.75" customHeight="1" thickBot="1" x14ac:dyDescent="0.25">
      <c r="A25" s="104"/>
      <c r="B25" s="119" t="s">
        <v>86</v>
      </c>
      <c r="C25" s="94"/>
      <c r="D25" s="94"/>
      <c r="E25" s="94"/>
      <c r="F25" s="94"/>
      <c r="G25" s="94"/>
      <c r="H25" s="125"/>
      <c r="I25" s="124"/>
      <c r="J25" s="124"/>
      <c r="K25" s="128" t="s">
        <v>60</v>
      </c>
      <c r="L25" s="104"/>
      <c r="M25" s="93" t="s">
        <v>62</v>
      </c>
      <c r="N25" s="94"/>
      <c r="O25" s="94"/>
      <c r="P25" s="94"/>
      <c r="Q25" s="50">
        <f>AB23</f>
        <v>0</v>
      </c>
      <c r="R25" s="51"/>
      <c r="S25" s="81"/>
      <c r="T25" s="81"/>
      <c r="U25" s="81"/>
      <c r="V25" s="81"/>
      <c r="W25" s="81"/>
      <c r="X25" s="81"/>
      <c r="Y25" s="107"/>
      <c r="AB25" s="3"/>
      <c r="AC25" s="3"/>
      <c r="AD25" s="3"/>
      <c r="AE25" s="3"/>
      <c r="AF25" s="3"/>
      <c r="AG25" s="3"/>
      <c r="AH25" s="3"/>
      <c r="AI25" s="3"/>
      <c r="AJ25" s="3"/>
      <c r="AK25" s="3"/>
      <c r="AL25" s="3"/>
      <c r="AM25" s="3"/>
      <c r="AN25" s="3"/>
      <c r="AO25" s="3"/>
      <c r="AP25" s="3"/>
    </row>
    <row r="26" spans="1:47" ht="18.75" customHeight="1" thickBot="1" x14ac:dyDescent="0.25">
      <c r="A26" s="104"/>
      <c r="B26" s="119" t="s">
        <v>54</v>
      </c>
      <c r="C26" s="94"/>
      <c r="D26" s="122"/>
      <c r="E26" s="122"/>
      <c r="F26" s="122"/>
      <c r="G26" s="122"/>
      <c r="H26" s="125"/>
      <c r="I26" s="124"/>
      <c r="J26" s="124"/>
      <c r="K26" s="128"/>
      <c r="L26" s="104"/>
      <c r="M26" s="81"/>
      <c r="N26" s="81"/>
      <c r="O26" s="81"/>
      <c r="P26" s="81"/>
      <c r="Q26" s="81"/>
      <c r="R26" s="81"/>
      <c r="S26" s="94"/>
      <c r="T26" s="94"/>
      <c r="U26" s="94"/>
      <c r="V26" s="94"/>
      <c r="W26" s="94"/>
      <c r="X26" s="94"/>
      <c r="Y26" s="107"/>
      <c r="AB26" s="3"/>
      <c r="AC26" s="3"/>
      <c r="AD26" s="3"/>
      <c r="AE26" s="3"/>
      <c r="AF26" s="3"/>
      <c r="AG26" s="3"/>
      <c r="AH26" s="3"/>
      <c r="AI26" s="3"/>
      <c r="AJ26" s="3"/>
      <c r="AK26" s="3"/>
      <c r="AL26" s="3"/>
      <c r="AM26" s="3"/>
      <c r="AN26" s="3"/>
      <c r="AO26" s="3"/>
      <c r="AP26" s="3"/>
    </row>
    <row r="27" spans="1:47" ht="18.75" customHeight="1" thickBot="1" x14ac:dyDescent="0.25">
      <c r="A27" s="104"/>
      <c r="B27" s="105" t="s">
        <v>63</v>
      </c>
      <c r="C27" s="94"/>
      <c r="D27" s="94"/>
      <c r="E27" s="94"/>
      <c r="F27" s="94"/>
      <c r="G27" s="94"/>
      <c r="H27" s="94"/>
      <c r="I27" s="50">
        <f>IF(Q7="Lease Doc",I24,SUM(I20:J23)+I24*0.8+I25*0.8+I26)</f>
        <v>0</v>
      </c>
      <c r="J27" s="51"/>
      <c r="K27" s="107"/>
      <c r="L27" s="81"/>
      <c r="M27" s="97" t="str">
        <f>F1 &amp; " SERVICEABILITY ASSESSMENT RESULT"</f>
        <v>Thrive SERVICEABILITY ASSESSMENT RESULT</v>
      </c>
      <c r="N27" s="94"/>
      <c r="O27" s="94"/>
      <c r="P27" s="110"/>
      <c r="Q27" s="94"/>
      <c r="R27" s="110"/>
      <c r="S27" s="81"/>
      <c r="T27" s="81"/>
      <c r="U27" s="81"/>
      <c r="V27" s="81"/>
      <c r="W27" s="81"/>
      <c r="X27" s="81"/>
      <c r="Y27" s="107"/>
      <c r="AB27" s="3"/>
      <c r="AC27" s="3"/>
      <c r="AD27" s="3"/>
      <c r="AE27" s="3"/>
      <c r="AF27" s="3"/>
      <c r="AG27" s="75"/>
      <c r="AH27" s="75"/>
      <c r="AI27" s="3"/>
      <c r="AJ27" s="3"/>
      <c r="AK27" s="3"/>
      <c r="AL27" s="3"/>
      <c r="AM27" s="3"/>
      <c r="AN27" s="3"/>
      <c r="AO27" s="3"/>
      <c r="AP27" s="3"/>
    </row>
    <row r="28" spans="1:47" ht="18.75" customHeight="1" thickBot="1" x14ac:dyDescent="0.25">
      <c r="A28" s="104"/>
      <c r="B28" s="93" t="s">
        <v>64</v>
      </c>
      <c r="C28" s="94"/>
      <c r="D28" s="94"/>
      <c r="E28" s="94"/>
      <c r="F28" s="94"/>
      <c r="G28" s="94"/>
      <c r="H28" s="94"/>
      <c r="I28" s="50">
        <f>I27+I17</f>
        <v>0</v>
      </c>
      <c r="J28" s="51"/>
      <c r="K28" s="107"/>
      <c r="L28" s="81"/>
      <c r="M28" s="81"/>
      <c r="N28" s="81"/>
      <c r="O28" s="81"/>
      <c r="P28" s="81"/>
      <c r="Q28" s="81"/>
      <c r="R28" s="81"/>
      <c r="S28" s="110"/>
      <c r="T28" s="94"/>
      <c r="U28" s="110"/>
      <c r="V28" s="94"/>
      <c r="W28" s="110"/>
      <c r="X28" s="94"/>
      <c r="Y28" s="107"/>
      <c r="AB28" s="3"/>
      <c r="AC28" s="3"/>
      <c r="AD28" s="3"/>
      <c r="AE28" s="3"/>
      <c r="AF28" s="3"/>
      <c r="AG28" s="75"/>
      <c r="AH28" s="75"/>
      <c r="AI28" s="3"/>
      <c r="AJ28" s="3"/>
      <c r="AK28" s="3"/>
      <c r="AL28" s="3"/>
      <c r="AM28" s="3"/>
      <c r="AN28" s="3"/>
      <c r="AO28" s="3"/>
      <c r="AP28" s="3"/>
    </row>
    <row r="29" spans="1:47" ht="20.25" customHeight="1" thickBot="1" x14ac:dyDescent="0.25">
      <c r="A29" s="104"/>
      <c r="B29" s="129" t="s">
        <v>65</v>
      </c>
      <c r="C29" s="94"/>
      <c r="D29" s="94"/>
      <c r="E29" s="94"/>
      <c r="F29" s="94"/>
      <c r="G29" s="94"/>
      <c r="H29" s="94"/>
      <c r="I29" s="130"/>
      <c r="J29" s="102"/>
      <c r="K29" s="107"/>
      <c r="L29" s="81"/>
      <c r="M29" s="105" t="s">
        <v>87</v>
      </c>
      <c r="N29" s="94"/>
      <c r="O29" s="94"/>
      <c r="P29" s="94"/>
      <c r="Q29" s="131">
        <f>IF(Q25&gt;0,ROUND(I28/Q25,2),0)</f>
        <v>0</v>
      </c>
      <c r="R29" s="132"/>
      <c r="S29" s="94"/>
      <c r="T29" s="133" t="str">
        <f>IF(Q7=T90,"ICR&gt;"&amp;U90&amp;"x Required",IF(Q7=T86,"ICR &gt;"&amp;U86&amp;"x Required",IF(Q7=T89,"ICR &gt;"&amp;U89&amp;"x Required",IF(AND(Q7=T87,Q8&gt;AC87)=TRUE,"ICR &gt;"&amp;U88&amp;"x Required",IF(Q7=T87,"ICR &gt;"&amp;U87&amp;"x Required",IF(Q7=T88,"ICR &gt;"&amp;U88&amp;"x Required"," "))))))</f>
        <v xml:space="preserve"> </v>
      </c>
      <c r="U29" s="94"/>
      <c r="V29" s="110"/>
      <c r="W29" s="94"/>
      <c r="X29" s="110"/>
      <c r="Y29" s="107"/>
      <c r="AB29" s="3"/>
      <c r="AC29" s="3"/>
      <c r="AD29" s="3"/>
      <c r="AE29" s="3"/>
      <c r="AF29" s="3"/>
      <c r="AG29" s="75"/>
      <c r="AH29" s="75"/>
      <c r="AI29" s="3"/>
      <c r="AJ29" s="3"/>
      <c r="AK29" s="3"/>
      <c r="AL29" s="3"/>
      <c r="AM29" s="3"/>
      <c r="AN29" s="3"/>
      <c r="AO29" s="3"/>
      <c r="AP29" s="3"/>
    </row>
    <row r="30" spans="1:47" ht="11.25" customHeight="1" thickBot="1" x14ac:dyDescent="0.25">
      <c r="A30" s="52"/>
      <c r="B30" s="53"/>
      <c r="C30" s="53"/>
      <c r="D30" s="53"/>
      <c r="E30" s="53"/>
      <c r="F30" s="53"/>
      <c r="G30" s="53"/>
      <c r="H30" s="53"/>
      <c r="I30" s="54"/>
      <c r="J30" s="55"/>
      <c r="K30" s="56"/>
      <c r="L30" s="104"/>
      <c r="M30" s="81"/>
      <c r="N30" s="81"/>
      <c r="O30" s="81"/>
      <c r="P30" s="81"/>
      <c r="Q30" s="81"/>
      <c r="R30" s="81"/>
      <c r="S30" s="81"/>
      <c r="T30" s="81"/>
      <c r="U30" s="81"/>
      <c r="V30" s="81"/>
      <c r="W30" s="81"/>
      <c r="X30" s="81"/>
      <c r="Y30" s="107"/>
      <c r="AB30" s="3"/>
      <c r="AC30" s="3"/>
      <c r="AD30" s="3"/>
      <c r="AE30" s="3"/>
      <c r="AF30" s="3"/>
      <c r="AG30" s="75"/>
      <c r="AH30" s="75"/>
      <c r="AI30" s="3"/>
      <c r="AJ30" s="3"/>
      <c r="AK30" s="3"/>
      <c r="AL30" s="3"/>
      <c r="AM30" s="3"/>
      <c r="AN30" s="3"/>
      <c r="AO30" s="3"/>
      <c r="AP30" s="3"/>
    </row>
    <row r="31" spans="1:47" ht="22.5" customHeight="1" thickBot="1" x14ac:dyDescent="0.25">
      <c r="A31" s="57"/>
      <c r="B31" s="58"/>
      <c r="C31" s="59"/>
      <c r="D31" s="59"/>
      <c r="E31" s="60"/>
      <c r="F31" s="59"/>
      <c r="G31" s="60"/>
      <c r="H31" s="59"/>
      <c r="I31" s="61"/>
      <c r="J31" s="62"/>
      <c r="K31" s="63"/>
      <c r="L31" s="104"/>
      <c r="M31" s="105" t="s">
        <v>88</v>
      </c>
      <c r="N31" s="94"/>
      <c r="O31" s="94"/>
      <c r="P31" s="94"/>
      <c r="Q31" s="131">
        <f>IF(OR(Q7="Lease Doc",Q7="Mid Doc Private Lending/Resi Stock",Q7="Quick Doc Private Lending/Resi Stock"),"",IF(Q25&gt;0,ROUND(I28/AG23,2),0))</f>
        <v>0</v>
      </c>
      <c r="R31" s="132"/>
      <c r="S31" s="94"/>
      <c r="T31" s="134" t="str">
        <f>IF(Q31=0," ",IF(Q31&lt;1,"DSCR too low",IF(Q31&lt;S85,"DSCR below "&amp;S85&amp;"x - please refer"," ")))</f>
        <v xml:space="preserve"> </v>
      </c>
      <c r="U31" s="94"/>
      <c r="V31" s="135"/>
      <c r="W31" s="94"/>
      <c r="X31" s="135"/>
      <c r="Y31" s="107"/>
      <c r="AB31" s="3"/>
      <c r="AC31" s="3"/>
      <c r="AD31" s="3"/>
      <c r="AE31" s="3"/>
      <c r="AF31" s="3"/>
      <c r="AG31" s="3"/>
      <c r="AH31" s="3"/>
      <c r="AI31" s="3"/>
      <c r="AJ31" s="3"/>
      <c r="AK31" s="3"/>
      <c r="AL31" s="3"/>
      <c r="AM31" s="3"/>
      <c r="AN31" s="3"/>
      <c r="AO31" s="3"/>
    </row>
    <row r="32" spans="1:47" ht="8.25" customHeight="1" thickBot="1" x14ac:dyDescent="0.25">
      <c r="A32" s="57"/>
      <c r="B32" s="58"/>
      <c r="C32" s="59"/>
      <c r="D32" s="59"/>
      <c r="E32" s="60"/>
      <c r="F32" s="59"/>
      <c r="G32" s="60"/>
      <c r="H32" s="59"/>
      <c r="I32" s="59"/>
      <c r="J32" s="59"/>
      <c r="K32" s="63"/>
      <c r="L32" s="104"/>
      <c r="M32" s="81"/>
      <c r="N32" s="81"/>
      <c r="O32" s="81"/>
      <c r="P32" s="81"/>
      <c r="Q32" s="81"/>
      <c r="R32" s="81"/>
      <c r="S32" s="81"/>
      <c r="T32" s="81"/>
      <c r="U32" s="81"/>
      <c r="V32" s="81"/>
      <c r="W32" s="81"/>
      <c r="X32" s="81"/>
      <c r="Y32" s="107"/>
      <c r="AB32" s="3"/>
      <c r="AC32" s="3"/>
      <c r="AD32" s="3"/>
      <c r="AE32" s="3"/>
      <c r="AF32" s="3"/>
      <c r="AG32" s="3"/>
      <c r="AH32" s="3"/>
      <c r="AI32" s="3"/>
      <c r="AJ32" s="3"/>
      <c r="AK32" s="3"/>
      <c r="AL32" s="3"/>
      <c r="AM32" s="3"/>
      <c r="AN32" s="3"/>
      <c r="AO32" s="3"/>
    </row>
    <row r="33" spans="1:41" ht="21" customHeight="1" thickBot="1" x14ac:dyDescent="0.25">
      <c r="A33" s="57"/>
      <c r="B33" s="58"/>
      <c r="C33" s="59"/>
      <c r="D33" s="59"/>
      <c r="E33" s="60"/>
      <c r="F33" s="59"/>
      <c r="G33" s="60"/>
      <c r="H33" s="59"/>
      <c r="I33" s="59"/>
      <c r="J33" s="59"/>
      <c r="K33" s="64"/>
      <c r="L33" s="104"/>
      <c r="M33" s="93" t="s">
        <v>66</v>
      </c>
      <c r="N33" s="94"/>
      <c r="O33" s="94"/>
      <c r="P33" s="94"/>
      <c r="Q33" s="136" t="str">
        <f>IF(Q25=0," ",VLOOKUP(Q7,T86:AB92,9,FALSE))</f>
        <v xml:space="preserve"> </v>
      </c>
      <c r="R33" s="137"/>
      <c r="S33" s="94"/>
      <c r="T33" s="94"/>
      <c r="U33" s="94"/>
      <c r="V33" s="110"/>
      <c r="W33" s="94"/>
      <c r="X33" s="110"/>
      <c r="Y33" s="107"/>
      <c r="AB33" s="3"/>
      <c r="AC33" s="3"/>
      <c r="AD33" s="3"/>
      <c r="AE33" s="3"/>
      <c r="AF33" s="3"/>
      <c r="AG33" s="3"/>
      <c r="AH33" s="3"/>
      <c r="AI33" s="3"/>
      <c r="AJ33" s="3"/>
      <c r="AK33" s="3"/>
      <c r="AL33" s="3"/>
      <c r="AM33" s="3"/>
      <c r="AN33" s="3"/>
      <c r="AO33" s="3"/>
    </row>
    <row r="34" spans="1:41" ht="26.25" customHeight="1" x14ac:dyDescent="0.25">
      <c r="A34" s="57"/>
      <c r="B34" s="138"/>
      <c r="C34" s="59"/>
      <c r="D34" s="59"/>
      <c r="E34" s="60"/>
      <c r="F34" s="59"/>
      <c r="G34" s="60"/>
      <c r="H34" s="59"/>
      <c r="I34" s="59"/>
      <c r="J34" s="59"/>
      <c r="K34" s="63"/>
      <c r="L34" s="104"/>
      <c r="M34" s="139" t="str">
        <f>"* Minimum ICR ≥"&amp;U86&amp;"x for Full Doc &amp; SMSF - "&amp;U87&amp;"x for Mid Doc - "&amp;U88&amp;"x for Quick Doc - "&amp;U90&amp;"x for Lease Doc -"&amp;U91&amp;"x"&amp;" for Private Lending &amp; Residual Stock"</f>
        <v>* Minimum ICR ≥1.5x for Full Doc &amp; SMSF - 1.75x for Mid Doc - 2x for Quick Doc - 1.25x for Lease Doc -1.25x for Private Lending &amp; Residual Stock</v>
      </c>
      <c r="N34" s="139"/>
      <c r="O34" s="139"/>
      <c r="P34" s="139"/>
      <c r="Q34" s="139"/>
      <c r="R34" s="139"/>
      <c r="S34" s="139"/>
      <c r="T34" s="139"/>
      <c r="U34" s="139"/>
      <c r="V34" s="139"/>
      <c r="W34" s="139"/>
      <c r="X34" s="139"/>
      <c r="Y34" s="140"/>
      <c r="AB34" s="3"/>
      <c r="AC34" s="3"/>
      <c r="AD34" s="3"/>
      <c r="AE34" s="3"/>
      <c r="AF34" s="3"/>
      <c r="AG34" s="3"/>
      <c r="AH34" s="3"/>
      <c r="AI34" s="3"/>
      <c r="AJ34" s="3"/>
      <c r="AK34" s="3"/>
      <c r="AL34" s="3"/>
      <c r="AM34" s="3"/>
      <c r="AN34" s="3"/>
      <c r="AO34" s="3"/>
    </row>
    <row r="35" spans="1:41" ht="18.75" customHeight="1" thickBot="1" x14ac:dyDescent="0.3">
      <c r="A35" s="57"/>
      <c r="B35" s="65" t="s">
        <v>89</v>
      </c>
      <c r="C35" s="59"/>
      <c r="D35" s="59"/>
      <c r="E35" s="60"/>
      <c r="F35" s="59"/>
      <c r="G35" s="60"/>
      <c r="H35" s="59"/>
      <c r="I35" s="59"/>
      <c r="J35" s="59"/>
      <c r="K35" s="63"/>
      <c r="L35" s="81"/>
      <c r="M35" s="141" t="s">
        <v>90</v>
      </c>
      <c r="N35" s="94"/>
      <c r="O35" s="94"/>
      <c r="P35" s="94"/>
      <c r="Q35" s="94"/>
      <c r="R35" s="110"/>
      <c r="S35" s="94"/>
      <c r="T35" s="141" t="s">
        <v>91</v>
      </c>
      <c r="U35" s="94"/>
      <c r="V35" s="110"/>
      <c r="W35" s="94"/>
      <c r="X35" s="110"/>
      <c r="Y35" s="107"/>
      <c r="AB35" s="3"/>
      <c r="AC35" s="3"/>
      <c r="AD35" s="3"/>
      <c r="AE35" s="3"/>
      <c r="AF35" s="3"/>
      <c r="AG35" s="3"/>
      <c r="AH35" s="3"/>
      <c r="AI35" s="3"/>
      <c r="AJ35" s="3"/>
      <c r="AK35" s="3"/>
      <c r="AL35" s="3"/>
      <c r="AM35" s="3"/>
      <c r="AN35" s="3"/>
      <c r="AO35" s="3"/>
    </row>
    <row r="36" spans="1:41" ht="16.5" customHeight="1" x14ac:dyDescent="0.2">
      <c r="A36" s="57"/>
      <c r="B36" s="58" t="s">
        <v>92</v>
      </c>
      <c r="C36" s="59"/>
      <c r="D36" s="59"/>
      <c r="E36" s="60"/>
      <c r="F36" s="59"/>
      <c r="G36" s="60"/>
      <c r="H36" s="59"/>
      <c r="I36" s="61"/>
      <c r="J36" s="62"/>
      <c r="K36" s="63"/>
      <c r="L36" s="142"/>
      <c r="M36" s="143"/>
      <c r="N36" s="144"/>
      <c r="O36" s="144"/>
      <c r="P36" s="144"/>
      <c r="Q36" s="144"/>
      <c r="R36" s="145"/>
      <c r="S36" s="144"/>
      <c r="T36" s="144"/>
      <c r="U36" s="144"/>
      <c r="V36" s="145"/>
      <c r="W36" s="144"/>
      <c r="X36" s="145"/>
      <c r="Y36" s="146"/>
      <c r="AB36" s="3"/>
      <c r="AC36" s="3"/>
      <c r="AD36" s="3"/>
      <c r="AE36" s="3"/>
      <c r="AF36" s="3"/>
      <c r="AG36" s="3"/>
      <c r="AH36" s="3"/>
      <c r="AI36" s="3"/>
      <c r="AJ36" s="3"/>
      <c r="AK36" s="3"/>
      <c r="AL36" s="3"/>
      <c r="AM36" s="3"/>
      <c r="AN36" s="3"/>
      <c r="AO36" s="3"/>
    </row>
    <row r="37" spans="1:41" ht="15.75" customHeight="1" x14ac:dyDescent="0.25">
      <c r="A37" s="57"/>
      <c r="B37" s="65" t="s">
        <v>93</v>
      </c>
      <c r="C37" s="59"/>
      <c r="D37" s="59"/>
      <c r="E37" s="60"/>
      <c r="F37" s="59"/>
      <c r="G37" s="60"/>
      <c r="H37" s="59"/>
      <c r="I37" s="61"/>
      <c r="J37" s="62"/>
      <c r="K37" s="63"/>
      <c r="L37" s="104"/>
      <c r="M37" s="147" t="s">
        <v>67</v>
      </c>
      <c r="N37" s="94"/>
      <c r="O37" s="94"/>
      <c r="P37" s="94"/>
      <c r="Q37" s="148" t="str">
        <f>IF(Q25=0," ",ROUNDDOWN(VLOOKUP(Q7,T86:AG92,14,FALSE),-3))</f>
        <v xml:space="preserve"> </v>
      </c>
      <c r="R37" s="148"/>
      <c r="S37" s="148"/>
      <c r="T37" s="149" t="str">
        <f>IF(Q37=" "," ","Please note this amount is indicative only")</f>
        <v xml:space="preserve"> </v>
      </c>
      <c r="U37" s="110"/>
      <c r="V37" s="110"/>
      <c r="W37" s="110"/>
      <c r="X37" s="110"/>
      <c r="Y37" s="107"/>
      <c r="AB37" s="3"/>
      <c r="AC37" s="3"/>
      <c r="AD37" s="3"/>
      <c r="AE37" s="3"/>
      <c r="AF37" s="3"/>
      <c r="AG37" s="3"/>
      <c r="AH37" s="3"/>
      <c r="AI37" s="3"/>
      <c r="AJ37" s="3"/>
      <c r="AK37" s="3"/>
      <c r="AL37" s="3"/>
      <c r="AM37" s="3"/>
      <c r="AN37" s="3"/>
      <c r="AO37" s="3"/>
    </row>
    <row r="38" spans="1:41" ht="14.25" thickBot="1" x14ac:dyDescent="0.25">
      <c r="A38" s="66"/>
      <c r="B38" s="67"/>
      <c r="C38" s="68"/>
      <c r="D38" s="68"/>
      <c r="E38" s="68"/>
      <c r="F38" s="68"/>
      <c r="G38" s="68"/>
      <c r="H38" s="69"/>
      <c r="I38" s="69"/>
      <c r="J38" s="69"/>
      <c r="K38" s="70"/>
      <c r="L38" s="150"/>
      <c r="M38" s="151"/>
      <c r="N38" s="151"/>
      <c r="O38" s="151"/>
      <c r="P38" s="152"/>
      <c r="Q38" s="151"/>
      <c r="R38" s="152"/>
      <c r="S38" s="152"/>
      <c r="T38" s="151"/>
      <c r="U38" s="152"/>
      <c r="V38" s="152"/>
      <c r="W38" s="152"/>
      <c r="X38" s="152"/>
      <c r="Y38" s="153"/>
      <c r="AB38" s="3"/>
      <c r="AC38" s="3"/>
      <c r="AD38" s="3"/>
      <c r="AE38" s="3"/>
      <c r="AF38" s="3"/>
      <c r="AG38" s="3"/>
      <c r="AH38" s="3"/>
      <c r="AI38" s="3"/>
      <c r="AJ38" s="3"/>
      <c r="AK38" s="3"/>
      <c r="AL38" s="3"/>
      <c r="AM38" s="3"/>
      <c r="AN38" s="3"/>
      <c r="AO38" s="3"/>
    </row>
    <row r="39" spans="1:41" ht="13.5" x14ac:dyDescent="0.25">
      <c r="A39" s="72"/>
      <c r="B39" s="71" t="str">
        <f>"Calculator Version: " &amp; A1</f>
        <v>Calculator Version: 11.12.2025</v>
      </c>
      <c r="C39" s="72"/>
      <c r="D39" s="72"/>
      <c r="E39" s="72"/>
      <c r="F39" s="72"/>
      <c r="G39" s="72"/>
      <c r="H39" s="73"/>
      <c r="I39" s="73"/>
      <c r="J39" s="73"/>
      <c r="K39" s="72"/>
      <c r="L39" s="72"/>
      <c r="M39" s="73"/>
      <c r="N39" s="73"/>
      <c r="O39" s="73"/>
      <c r="P39" s="72"/>
      <c r="Q39" s="73"/>
      <c r="R39" s="72"/>
      <c r="S39" s="72"/>
      <c r="T39" s="73"/>
      <c r="U39" s="72"/>
      <c r="V39" s="72"/>
      <c r="W39" s="72"/>
      <c r="X39" s="72"/>
      <c r="Y39" s="72"/>
      <c r="AB39" s="3"/>
      <c r="AC39" s="3"/>
      <c r="AD39" s="3"/>
      <c r="AE39" s="3"/>
      <c r="AF39" s="3"/>
      <c r="AG39" s="3"/>
      <c r="AH39" s="3"/>
      <c r="AI39" s="3"/>
      <c r="AJ39" s="3"/>
      <c r="AK39" s="3"/>
      <c r="AL39" s="3"/>
      <c r="AM39" s="3"/>
      <c r="AN39" s="3"/>
    </row>
    <row r="40" spans="1:41" x14ac:dyDescent="0.2">
      <c r="A40" s="72"/>
      <c r="B40" s="72"/>
      <c r="C40" s="72"/>
      <c r="D40" s="72"/>
      <c r="E40" s="72"/>
      <c r="F40" s="72"/>
      <c r="G40" s="72"/>
      <c r="H40" s="73"/>
      <c r="I40" s="73"/>
      <c r="J40" s="73"/>
      <c r="K40" s="72"/>
      <c r="L40" s="72"/>
      <c r="M40" s="73"/>
      <c r="N40" s="73"/>
      <c r="O40" s="73"/>
      <c r="P40" s="72"/>
      <c r="Q40" s="73"/>
      <c r="R40" s="72"/>
      <c r="S40" s="72"/>
      <c r="T40" s="73"/>
      <c r="U40" s="72"/>
      <c r="V40" s="72"/>
      <c r="W40" s="72"/>
      <c r="X40" s="72"/>
      <c r="Y40" s="72"/>
      <c r="AB40" s="3"/>
      <c r="AC40" s="3"/>
      <c r="AD40" s="3"/>
      <c r="AE40" s="3"/>
      <c r="AF40" s="3"/>
      <c r="AG40" s="3"/>
      <c r="AH40" s="3"/>
      <c r="AI40" s="3"/>
      <c r="AJ40" s="3"/>
      <c r="AK40" s="3"/>
      <c r="AL40" s="3"/>
      <c r="AM40" s="3"/>
      <c r="AN40" s="3"/>
    </row>
    <row r="41" spans="1:41" x14ac:dyDescent="0.2">
      <c r="A41" s="72"/>
      <c r="B41" s="72"/>
      <c r="C41" s="72"/>
      <c r="D41" s="72"/>
      <c r="E41" s="72"/>
      <c r="F41" s="72"/>
      <c r="G41" s="72"/>
      <c r="H41" s="73"/>
      <c r="I41" s="73"/>
      <c r="J41" s="73"/>
      <c r="K41" s="72"/>
      <c r="L41" s="72"/>
      <c r="M41" s="73"/>
      <c r="N41" s="73"/>
      <c r="O41" s="73"/>
      <c r="P41" s="72"/>
      <c r="Q41" s="73"/>
      <c r="R41" s="72"/>
      <c r="S41" s="72"/>
      <c r="T41" s="73"/>
      <c r="U41" s="72"/>
      <c r="V41" s="72"/>
      <c r="W41" s="72"/>
      <c r="X41" s="72"/>
      <c r="Y41" s="72"/>
      <c r="AB41" s="3"/>
      <c r="AC41" s="3"/>
      <c r="AD41" s="3"/>
      <c r="AE41" s="3"/>
      <c r="AF41" s="3"/>
      <c r="AG41" s="3"/>
      <c r="AH41" s="3"/>
      <c r="AI41" s="3"/>
      <c r="AJ41" s="3"/>
      <c r="AK41" s="3"/>
      <c r="AL41" s="3"/>
      <c r="AM41" s="3"/>
      <c r="AN41" s="3"/>
    </row>
    <row r="42" spans="1:41" hidden="1" x14ac:dyDescent="0.2">
      <c r="A42" s="72"/>
      <c r="B42" s="72"/>
      <c r="C42" s="72"/>
      <c r="D42" s="72"/>
      <c r="E42" s="72"/>
      <c r="F42" s="72"/>
      <c r="G42" s="72"/>
      <c r="H42" s="73"/>
      <c r="I42" s="73"/>
      <c r="J42" s="73"/>
      <c r="K42" s="72"/>
      <c r="L42" s="72"/>
      <c r="M42" s="73"/>
      <c r="N42" s="73"/>
      <c r="O42" s="73"/>
      <c r="P42" s="72"/>
      <c r="Q42" s="73"/>
      <c r="R42" s="72"/>
      <c r="S42" s="72"/>
      <c r="T42" s="73"/>
      <c r="U42" s="72"/>
      <c r="V42" s="72"/>
      <c r="W42" s="72"/>
      <c r="X42" s="72"/>
      <c r="Y42" s="72"/>
      <c r="AB42" s="3"/>
      <c r="AC42" s="3"/>
      <c r="AD42" s="3"/>
      <c r="AE42" s="3"/>
      <c r="AF42" s="3"/>
      <c r="AG42" s="3"/>
      <c r="AH42" s="3"/>
      <c r="AI42" s="3"/>
      <c r="AJ42" s="3"/>
      <c r="AK42" s="3"/>
      <c r="AL42" s="3"/>
      <c r="AM42" s="3"/>
      <c r="AN42" s="3"/>
    </row>
    <row r="43" spans="1:41" hidden="1" x14ac:dyDescent="0.2">
      <c r="A43" s="72"/>
      <c r="B43" s="72"/>
      <c r="C43" s="72"/>
      <c r="D43" s="72"/>
      <c r="E43" s="72"/>
      <c r="F43" s="72"/>
      <c r="G43" s="72"/>
      <c r="H43" s="73"/>
      <c r="I43" s="73"/>
      <c r="J43" s="73"/>
      <c r="K43" s="72"/>
      <c r="L43" s="72"/>
      <c r="M43" s="73"/>
      <c r="N43" s="73"/>
      <c r="O43" s="73"/>
      <c r="P43" s="72"/>
      <c r="Q43" s="73"/>
      <c r="R43" s="72"/>
      <c r="S43" s="72"/>
      <c r="T43" s="73"/>
      <c r="U43" s="72"/>
      <c r="V43" s="72"/>
      <c r="W43" s="72"/>
      <c r="X43" s="72"/>
      <c r="Y43" s="72"/>
      <c r="AB43" s="3"/>
      <c r="AC43" s="3"/>
      <c r="AD43" s="3"/>
      <c r="AE43" s="3"/>
      <c r="AF43" s="3"/>
      <c r="AG43" s="3"/>
      <c r="AH43" s="3"/>
      <c r="AI43" s="3"/>
      <c r="AJ43" s="3"/>
      <c r="AK43" s="3"/>
      <c r="AL43" s="3"/>
      <c r="AM43" s="3"/>
      <c r="AN43" s="3"/>
    </row>
    <row r="44" spans="1:41" hidden="1" x14ac:dyDescent="0.2">
      <c r="A44" s="72"/>
      <c r="B44" s="72"/>
      <c r="C44" s="72"/>
      <c r="D44" s="72"/>
      <c r="E44" s="72"/>
      <c r="F44" s="72"/>
      <c r="G44" s="72"/>
      <c r="H44" s="73"/>
      <c r="I44" s="73"/>
      <c r="J44" s="73"/>
      <c r="K44" s="72"/>
      <c r="L44" s="72"/>
      <c r="M44" s="73"/>
      <c r="N44" s="73"/>
      <c r="O44" s="73"/>
      <c r="P44" s="72"/>
      <c r="Q44" s="73"/>
      <c r="R44" s="72"/>
      <c r="S44" s="72"/>
      <c r="T44" s="73"/>
      <c r="U44" s="72"/>
      <c r="V44" s="72"/>
      <c r="W44" s="72"/>
      <c r="X44" s="72"/>
      <c r="Y44" s="72"/>
      <c r="AB44" s="3"/>
      <c r="AC44" s="3"/>
      <c r="AD44" s="3"/>
      <c r="AE44" s="3"/>
      <c r="AF44" s="3"/>
      <c r="AG44" s="3"/>
      <c r="AH44" s="3"/>
      <c r="AI44" s="3"/>
      <c r="AJ44" s="3"/>
      <c r="AK44" s="3"/>
      <c r="AL44" s="3"/>
      <c r="AM44" s="3"/>
      <c r="AN44" s="3"/>
    </row>
    <row r="45" spans="1:41" hidden="1" x14ac:dyDescent="0.2">
      <c r="A45" s="72"/>
      <c r="B45" s="72"/>
      <c r="C45" s="72"/>
      <c r="D45" s="72"/>
      <c r="E45" s="72"/>
      <c r="F45" s="72"/>
      <c r="G45" s="72"/>
      <c r="H45" s="73"/>
      <c r="I45" s="73"/>
      <c r="J45" s="73"/>
      <c r="K45" s="72"/>
      <c r="L45" s="72"/>
      <c r="M45" s="73"/>
      <c r="N45" s="73"/>
      <c r="O45" s="73"/>
      <c r="P45" s="72"/>
      <c r="Q45" s="73"/>
      <c r="R45" s="72"/>
      <c r="S45" s="72"/>
      <c r="T45" s="73"/>
      <c r="U45" s="72"/>
      <c r="V45" s="72"/>
      <c r="W45" s="72"/>
      <c r="X45" s="72"/>
      <c r="Y45" s="72"/>
      <c r="AB45" s="3"/>
      <c r="AC45" s="3"/>
      <c r="AD45" s="3"/>
      <c r="AE45" s="3"/>
      <c r="AF45" s="3"/>
      <c r="AG45" s="3"/>
      <c r="AH45" s="3"/>
      <c r="AI45" s="3"/>
      <c r="AJ45" s="3"/>
      <c r="AK45" s="3"/>
      <c r="AL45" s="3"/>
      <c r="AM45" s="3"/>
      <c r="AN45" s="3"/>
    </row>
    <row r="46" spans="1:41" hidden="1" x14ac:dyDescent="0.2">
      <c r="A46" s="72"/>
      <c r="B46" s="72"/>
      <c r="C46" s="72"/>
      <c r="D46" s="72"/>
      <c r="E46" s="72"/>
      <c r="F46" s="72"/>
      <c r="G46" s="72"/>
      <c r="H46" s="73"/>
      <c r="I46" s="73"/>
      <c r="J46" s="73"/>
      <c r="K46" s="72"/>
      <c r="L46" s="72"/>
      <c r="M46" s="73"/>
      <c r="N46" s="73"/>
      <c r="O46" s="73"/>
      <c r="P46" s="72"/>
      <c r="Q46" s="73"/>
      <c r="R46" s="72"/>
      <c r="S46" s="72"/>
      <c r="T46" s="73"/>
      <c r="U46" s="72"/>
      <c r="V46" s="72"/>
      <c r="W46" s="72"/>
      <c r="X46" s="72"/>
      <c r="Y46" s="72"/>
      <c r="AB46" s="3"/>
      <c r="AC46" s="3"/>
      <c r="AD46" s="3"/>
      <c r="AE46" s="3"/>
      <c r="AF46" s="3"/>
      <c r="AG46" s="3"/>
      <c r="AH46" s="3"/>
      <c r="AI46" s="3"/>
      <c r="AJ46" s="3"/>
      <c r="AK46" s="3"/>
      <c r="AL46" s="3"/>
      <c r="AM46" s="3"/>
      <c r="AN46" s="3"/>
    </row>
    <row r="47" spans="1:41" hidden="1" x14ac:dyDescent="0.2">
      <c r="A47" s="72"/>
      <c r="B47" s="72"/>
      <c r="C47" s="72"/>
      <c r="D47" s="72"/>
      <c r="E47" s="72"/>
      <c r="F47" s="72"/>
      <c r="G47" s="72"/>
      <c r="H47" s="73"/>
      <c r="I47" s="73"/>
      <c r="J47" s="73"/>
      <c r="K47" s="72"/>
      <c r="L47" s="72"/>
      <c r="M47" s="73"/>
      <c r="N47" s="73"/>
      <c r="O47" s="73"/>
      <c r="P47" s="72"/>
      <c r="Q47" s="73"/>
      <c r="R47" s="72"/>
      <c r="S47" s="72"/>
      <c r="T47" s="73"/>
      <c r="U47" s="72"/>
      <c r="V47" s="72"/>
      <c r="W47" s="72"/>
      <c r="X47" s="72"/>
      <c r="Y47" s="72"/>
      <c r="AB47" s="3"/>
      <c r="AC47" s="3"/>
      <c r="AD47" s="3"/>
      <c r="AE47" s="3"/>
      <c r="AF47" s="3"/>
      <c r="AG47" s="3"/>
      <c r="AH47" s="3"/>
      <c r="AI47" s="3"/>
      <c r="AJ47" s="3"/>
      <c r="AK47" s="3"/>
      <c r="AL47" s="3"/>
      <c r="AM47" s="3"/>
      <c r="AN47" s="3"/>
    </row>
    <row r="48" spans="1:41" hidden="1" x14ac:dyDescent="0.2">
      <c r="A48" s="72"/>
      <c r="B48" s="72"/>
      <c r="C48" s="72"/>
      <c r="D48" s="72"/>
      <c r="E48" s="72"/>
      <c r="F48" s="72"/>
      <c r="G48" s="72"/>
      <c r="H48" s="73"/>
      <c r="I48" s="73"/>
      <c r="J48" s="73"/>
      <c r="K48" s="72"/>
      <c r="L48" s="72"/>
      <c r="M48" s="73"/>
      <c r="N48" s="73"/>
      <c r="O48" s="73"/>
      <c r="P48" s="72"/>
      <c r="Q48" s="73"/>
      <c r="R48" s="72"/>
      <c r="S48" s="72"/>
      <c r="T48" s="73"/>
      <c r="U48" s="72"/>
      <c r="V48" s="72"/>
      <c r="W48" s="72"/>
      <c r="X48" s="72"/>
      <c r="Y48" s="72"/>
      <c r="AB48" s="3"/>
      <c r="AC48" s="3"/>
      <c r="AD48" s="3"/>
      <c r="AE48" s="3"/>
      <c r="AF48" s="3"/>
      <c r="AG48" s="3"/>
      <c r="AH48" s="3"/>
      <c r="AI48" s="3"/>
      <c r="AJ48" s="3"/>
      <c r="AK48" s="3"/>
      <c r="AL48" s="3"/>
      <c r="AM48" s="3"/>
      <c r="AN48" s="3"/>
    </row>
    <row r="49" spans="1:40" hidden="1" x14ac:dyDescent="0.2">
      <c r="A49" s="72"/>
      <c r="B49" s="72"/>
      <c r="C49" s="72"/>
      <c r="D49" s="72"/>
      <c r="E49" s="72"/>
      <c r="F49" s="72"/>
      <c r="G49" s="72"/>
      <c r="H49" s="73"/>
      <c r="I49" s="73"/>
      <c r="J49" s="73"/>
      <c r="K49" s="72"/>
      <c r="L49" s="72"/>
      <c r="M49" s="73"/>
      <c r="N49" s="73"/>
      <c r="O49" s="73"/>
      <c r="P49" s="72"/>
      <c r="Q49" s="73"/>
      <c r="R49" s="72"/>
      <c r="S49" s="72"/>
      <c r="T49" s="73"/>
      <c r="U49" s="72"/>
      <c r="V49" s="72"/>
      <c r="W49" s="72"/>
      <c r="X49" s="72"/>
      <c r="Y49" s="72"/>
      <c r="AB49" s="3"/>
      <c r="AC49" s="3"/>
      <c r="AD49" s="3"/>
      <c r="AE49" s="3"/>
      <c r="AF49" s="3"/>
      <c r="AG49" s="3"/>
      <c r="AH49" s="3"/>
      <c r="AI49" s="3"/>
      <c r="AJ49" s="3"/>
      <c r="AK49" s="3"/>
      <c r="AL49" s="3"/>
      <c r="AM49" s="3"/>
      <c r="AN49" s="3"/>
    </row>
    <row r="50" spans="1:40" hidden="1" x14ac:dyDescent="0.2">
      <c r="A50" s="72"/>
      <c r="B50" s="72"/>
      <c r="C50" s="72"/>
      <c r="D50" s="72"/>
      <c r="E50" s="72"/>
      <c r="F50" s="72"/>
      <c r="G50" s="72"/>
      <c r="H50" s="73"/>
      <c r="I50" s="73"/>
      <c r="J50" s="73"/>
      <c r="K50" s="72"/>
      <c r="L50" s="72"/>
      <c r="M50" s="73"/>
      <c r="N50" s="73"/>
      <c r="O50" s="73"/>
      <c r="P50" s="72"/>
      <c r="Q50" s="73"/>
      <c r="R50" s="72"/>
      <c r="S50" s="72"/>
      <c r="T50" s="73"/>
      <c r="U50" s="72"/>
      <c r="V50" s="72"/>
      <c r="W50" s="72"/>
      <c r="X50" s="72"/>
      <c r="Y50" s="72"/>
      <c r="AB50" s="3"/>
      <c r="AC50" s="3"/>
      <c r="AD50" s="3"/>
      <c r="AE50" s="3"/>
      <c r="AF50" s="3"/>
      <c r="AG50" s="3"/>
      <c r="AH50" s="3"/>
      <c r="AI50" s="3"/>
      <c r="AJ50" s="3"/>
      <c r="AK50" s="3"/>
      <c r="AL50" s="3"/>
      <c r="AM50" s="3"/>
      <c r="AN50" s="3"/>
    </row>
    <row r="51" spans="1:40" hidden="1" x14ac:dyDescent="0.2">
      <c r="A51" s="72"/>
      <c r="B51" s="72"/>
      <c r="C51" s="72"/>
      <c r="D51" s="72"/>
      <c r="E51" s="72"/>
      <c r="F51" s="72"/>
      <c r="G51" s="72"/>
      <c r="H51" s="73"/>
      <c r="I51" s="73"/>
      <c r="J51" s="73"/>
      <c r="K51" s="72"/>
      <c r="L51" s="72"/>
      <c r="M51" s="73"/>
      <c r="N51" s="73"/>
      <c r="O51" s="73"/>
      <c r="P51" s="72"/>
      <c r="Q51" s="73"/>
      <c r="R51" s="72"/>
      <c r="S51" s="72"/>
      <c r="T51" s="73"/>
      <c r="U51" s="72"/>
      <c r="V51" s="72"/>
      <c r="W51" s="72"/>
      <c r="X51" s="72"/>
      <c r="Y51" s="72"/>
      <c r="AB51" s="3"/>
      <c r="AC51" s="3"/>
      <c r="AD51" s="3"/>
      <c r="AE51" s="3"/>
      <c r="AF51" s="3"/>
      <c r="AG51" s="3"/>
      <c r="AH51" s="3"/>
      <c r="AI51" s="3"/>
      <c r="AJ51" s="3"/>
      <c r="AK51" s="3"/>
      <c r="AL51" s="3"/>
      <c r="AM51" s="3"/>
      <c r="AN51" s="3"/>
    </row>
    <row r="52" spans="1:40" hidden="1" x14ac:dyDescent="0.2">
      <c r="A52" s="72"/>
      <c r="B52" s="72"/>
      <c r="C52" s="72"/>
      <c r="D52" s="72"/>
      <c r="E52" s="72"/>
      <c r="F52" s="72"/>
      <c r="G52" s="72"/>
      <c r="H52" s="73"/>
      <c r="I52" s="73"/>
      <c r="J52" s="73"/>
      <c r="K52" s="72"/>
      <c r="L52" s="72"/>
      <c r="M52" s="73"/>
      <c r="N52" s="73"/>
      <c r="O52" s="73"/>
      <c r="P52" s="72"/>
      <c r="Q52" s="73"/>
      <c r="R52" s="72"/>
      <c r="S52" s="72"/>
      <c r="T52" s="73"/>
      <c r="U52" s="72"/>
      <c r="V52" s="72"/>
      <c r="W52" s="72"/>
      <c r="X52" s="72"/>
      <c r="Y52" s="72"/>
      <c r="AB52" s="3"/>
      <c r="AC52" s="3"/>
      <c r="AD52" s="3"/>
      <c r="AE52" s="3"/>
      <c r="AF52" s="3"/>
      <c r="AG52" s="3"/>
      <c r="AH52" s="3"/>
      <c r="AI52" s="3"/>
      <c r="AJ52" s="3"/>
      <c r="AK52" s="3"/>
      <c r="AL52" s="3"/>
      <c r="AM52" s="3"/>
      <c r="AN52" s="3"/>
    </row>
    <row r="53" spans="1:40" hidden="1" x14ac:dyDescent="0.2">
      <c r="A53" s="72"/>
      <c r="B53" s="72"/>
      <c r="C53" s="72"/>
      <c r="D53" s="72"/>
      <c r="E53" s="72"/>
      <c r="F53" s="72"/>
      <c r="G53" s="72"/>
      <c r="H53" s="73"/>
      <c r="I53" s="73"/>
      <c r="J53" s="73"/>
      <c r="K53" s="72"/>
      <c r="L53" s="72"/>
      <c r="M53" s="73"/>
      <c r="N53" s="73"/>
      <c r="O53" s="73"/>
      <c r="P53" s="72"/>
      <c r="Q53" s="73"/>
      <c r="R53" s="72"/>
      <c r="S53" s="72"/>
      <c r="T53" s="73"/>
      <c r="U53" s="72"/>
      <c r="V53" s="72"/>
      <c r="W53" s="72"/>
      <c r="X53" s="72"/>
      <c r="Y53" s="72"/>
      <c r="AB53" s="3"/>
      <c r="AC53" s="3"/>
      <c r="AD53" s="3"/>
      <c r="AE53" s="3"/>
      <c r="AF53" s="3"/>
      <c r="AG53" s="3"/>
      <c r="AH53" s="3"/>
      <c r="AI53" s="3"/>
      <c r="AJ53" s="3"/>
      <c r="AK53" s="3"/>
      <c r="AL53" s="3"/>
      <c r="AM53" s="3"/>
      <c r="AN53" s="3"/>
    </row>
    <row r="54" spans="1:40" hidden="1" x14ac:dyDescent="0.2">
      <c r="A54" s="72"/>
      <c r="B54" s="72"/>
      <c r="C54" s="72"/>
      <c r="D54" s="72"/>
      <c r="E54" s="72"/>
      <c r="F54" s="72"/>
      <c r="G54" s="72"/>
      <c r="H54" s="73"/>
      <c r="I54" s="73"/>
      <c r="J54" s="73"/>
      <c r="K54" s="72"/>
      <c r="L54" s="72"/>
      <c r="M54" s="73"/>
      <c r="N54" s="73"/>
      <c r="O54" s="73"/>
      <c r="P54" s="72"/>
      <c r="Q54" s="73"/>
      <c r="R54" s="72"/>
      <c r="S54" s="72"/>
      <c r="T54" s="73"/>
      <c r="U54" s="72"/>
      <c r="V54" s="72"/>
      <c r="W54" s="72"/>
      <c r="X54" s="72"/>
      <c r="Y54" s="72"/>
      <c r="AB54" s="3"/>
      <c r="AC54" s="3"/>
      <c r="AD54" s="3"/>
      <c r="AE54" s="3"/>
      <c r="AF54" s="3"/>
      <c r="AG54" s="3"/>
      <c r="AH54" s="3"/>
      <c r="AI54" s="3"/>
      <c r="AJ54" s="3"/>
      <c r="AK54" s="3"/>
      <c r="AL54" s="3"/>
      <c r="AM54" s="3"/>
      <c r="AN54" s="3"/>
    </row>
    <row r="55" spans="1:40" hidden="1" x14ac:dyDescent="0.2">
      <c r="A55" s="72"/>
      <c r="B55" s="72"/>
      <c r="C55" s="72"/>
      <c r="D55" s="72"/>
      <c r="E55" s="72"/>
      <c r="F55" s="72"/>
      <c r="G55" s="72"/>
      <c r="H55" s="73"/>
      <c r="I55" s="73"/>
      <c r="J55" s="73"/>
      <c r="K55" s="72"/>
      <c r="L55" s="72"/>
      <c r="M55" s="73"/>
      <c r="N55" s="73"/>
      <c r="O55" s="73"/>
      <c r="P55" s="72"/>
      <c r="Q55" s="73"/>
      <c r="R55" s="72"/>
      <c r="S55" s="72"/>
      <c r="T55" s="73"/>
      <c r="U55" s="72"/>
      <c r="V55" s="72"/>
      <c r="W55" s="72"/>
      <c r="X55" s="72"/>
      <c r="Y55" s="72"/>
      <c r="AB55" s="3"/>
      <c r="AC55" s="3"/>
      <c r="AD55" s="3"/>
      <c r="AE55" s="3"/>
      <c r="AF55" s="3"/>
      <c r="AG55" s="3"/>
      <c r="AH55" s="3"/>
      <c r="AI55" s="3"/>
      <c r="AJ55" s="3"/>
      <c r="AK55" s="3"/>
      <c r="AL55" s="3"/>
      <c r="AM55" s="3"/>
      <c r="AN55" s="3"/>
    </row>
    <row r="56" spans="1:40" hidden="1" x14ac:dyDescent="0.2">
      <c r="A56" s="72"/>
      <c r="B56" s="72"/>
      <c r="C56" s="72"/>
      <c r="D56" s="72"/>
      <c r="E56" s="72"/>
      <c r="F56" s="72"/>
      <c r="G56" s="72"/>
      <c r="H56" s="73"/>
      <c r="I56" s="73"/>
      <c r="J56" s="73"/>
      <c r="K56" s="72"/>
      <c r="L56" s="72"/>
      <c r="M56" s="73"/>
      <c r="N56" s="73"/>
      <c r="O56" s="73"/>
      <c r="P56" s="72"/>
      <c r="Q56" s="73"/>
      <c r="R56" s="72"/>
      <c r="S56" s="72"/>
      <c r="T56" s="73"/>
      <c r="U56" s="72"/>
      <c r="V56" s="72"/>
      <c r="W56" s="72"/>
      <c r="X56" s="72"/>
      <c r="Y56" s="72"/>
      <c r="AB56" s="3"/>
      <c r="AC56" s="3"/>
      <c r="AD56" s="3"/>
      <c r="AE56" s="3"/>
      <c r="AF56" s="3"/>
      <c r="AG56" s="3"/>
      <c r="AH56" s="3"/>
      <c r="AI56" s="3"/>
      <c r="AJ56" s="3"/>
      <c r="AK56" s="3"/>
      <c r="AL56" s="3"/>
      <c r="AM56" s="3"/>
      <c r="AN56" s="3"/>
    </row>
    <row r="57" spans="1:40" hidden="1" x14ac:dyDescent="0.2">
      <c r="A57" s="72"/>
      <c r="B57" s="72"/>
      <c r="C57" s="72"/>
      <c r="D57" s="72"/>
      <c r="E57" s="72"/>
      <c r="F57" s="72"/>
      <c r="G57" s="72"/>
      <c r="H57" s="73"/>
      <c r="I57" s="73"/>
      <c r="J57" s="73"/>
      <c r="K57" s="72"/>
      <c r="L57" s="72"/>
      <c r="M57" s="73"/>
      <c r="N57" s="73"/>
      <c r="O57" s="73"/>
      <c r="P57" s="72"/>
      <c r="Q57" s="73"/>
      <c r="R57" s="72"/>
      <c r="S57" s="72"/>
      <c r="T57" s="73"/>
      <c r="U57" s="72"/>
      <c r="V57" s="72"/>
      <c r="W57" s="72"/>
      <c r="X57" s="72"/>
      <c r="Y57" s="72"/>
      <c r="AB57" s="3"/>
      <c r="AC57" s="3"/>
      <c r="AD57" s="3"/>
      <c r="AE57" s="3"/>
      <c r="AF57" s="3"/>
      <c r="AG57" s="3"/>
      <c r="AH57" s="3"/>
      <c r="AI57" s="3"/>
      <c r="AJ57" s="3"/>
      <c r="AK57" s="3"/>
      <c r="AL57" s="3"/>
      <c r="AM57" s="3"/>
      <c r="AN57" s="3"/>
    </row>
    <row r="58" spans="1:40" hidden="1" x14ac:dyDescent="0.2">
      <c r="A58" s="72"/>
      <c r="B58" s="72"/>
      <c r="C58" s="72"/>
      <c r="D58" s="72"/>
      <c r="E58" s="72"/>
      <c r="F58" s="72"/>
      <c r="G58" s="72"/>
      <c r="H58" s="73"/>
      <c r="I58" s="73"/>
      <c r="J58" s="73"/>
      <c r="K58" s="72"/>
      <c r="L58" s="72"/>
      <c r="M58" s="73"/>
      <c r="N58" s="73"/>
      <c r="O58" s="73"/>
      <c r="P58" s="72"/>
      <c r="Q58" s="73"/>
      <c r="R58" s="72"/>
      <c r="S58" s="72"/>
      <c r="T58" s="73"/>
      <c r="U58" s="72"/>
      <c r="V58" s="72"/>
      <c r="W58" s="72"/>
      <c r="X58" s="72"/>
      <c r="Y58" s="72"/>
      <c r="AB58" s="3"/>
      <c r="AC58" s="3"/>
      <c r="AD58" s="3"/>
      <c r="AE58" s="3"/>
      <c r="AF58" s="3"/>
      <c r="AG58" s="3"/>
      <c r="AH58" s="3"/>
      <c r="AI58" s="3"/>
      <c r="AJ58" s="3"/>
      <c r="AK58" s="3"/>
      <c r="AL58" s="3"/>
      <c r="AM58" s="3"/>
      <c r="AN58" s="3"/>
    </row>
    <row r="59" spans="1:40" hidden="1" x14ac:dyDescent="0.2">
      <c r="A59" s="72"/>
      <c r="B59" s="72"/>
      <c r="C59" s="72"/>
      <c r="D59" s="72"/>
      <c r="E59" s="72"/>
      <c r="F59" s="72"/>
      <c r="G59" s="72"/>
      <c r="H59" s="73"/>
      <c r="I59" s="73"/>
      <c r="J59" s="73"/>
      <c r="K59" s="72"/>
      <c r="L59" s="72"/>
      <c r="M59" s="73"/>
      <c r="N59" s="73"/>
      <c r="O59" s="73"/>
      <c r="P59" s="72"/>
      <c r="Q59" s="73"/>
      <c r="R59" s="72"/>
      <c r="S59" s="72"/>
      <c r="T59" s="73"/>
      <c r="U59" s="72"/>
      <c r="V59" s="72"/>
      <c r="W59" s="72"/>
      <c r="X59" s="72"/>
      <c r="Y59" s="72"/>
      <c r="AB59" s="3"/>
      <c r="AC59" s="3"/>
      <c r="AD59" s="3"/>
      <c r="AE59" s="3"/>
      <c r="AF59" s="3"/>
      <c r="AG59" s="3"/>
      <c r="AH59" s="3"/>
      <c r="AI59" s="3"/>
      <c r="AJ59" s="3"/>
      <c r="AK59" s="3"/>
      <c r="AL59" s="3"/>
      <c r="AM59" s="3"/>
      <c r="AN59" s="3"/>
    </row>
    <row r="60" spans="1:40" hidden="1" x14ac:dyDescent="0.2">
      <c r="A60" s="72"/>
      <c r="B60" s="72"/>
      <c r="C60" s="72"/>
      <c r="D60" s="72"/>
      <c r="E60" s="72"/>
      <c r="F60" s="72"/>
      <c r="G60" s="72"/>
      <c r="H60" s="73"/>
      <c r="I60" s="73"/>
      <c r="J60" s="73"/>
      <c r="K60" s="72"/>
      <c r="L60" s="72"/>
      <c r="M60" s="73"/>
      <c r="N60" s="73"/>
      <c r="O60" s="73"/>
      <c r="P60" s="72"/>
      <c r="Q60" s="73"/>
      <c r="R60" s="72"/>
      <c r="S60" s="72"/>
      <c r="T60" s="73"/>
      <c r="U60" s="72"/>
      <c r="V60" s="72"/>
      <c r="W60" s="72"/>
      <c r="X60" s="72"/>
      <c r="Y60" s="72"/>
      <c r="AB60" s="3"/>
      <c r="AC60" s="3"/>
      <c r="AD60" s="3"/>
      <c r="AE60" s="3"/>
      <c r="AF60" s="3"/>
      <c r="AG60" s="3"/>
      <c r="AH60" s="3"/>
      <c r="AI60" s="3"/>
      <c r="AJ60" s="3"/>
      <c r="AK60" s="3"/>
      <c r="AL60" s="3"/>
      <c r="AM60" s="3"/>
      <c r="AN60" s="3"/>
    </row>
    <row r="61" spans="1:40" hidden="1" x14ac:dyDescent="0.2">
      <c r="A61" s="72"/>
      <c r="B61" s="72"/>
      <c r="C61" s="72"/>
      <c r="D61" s="72"/>
      <c r="E61" s="72"/>
      <c r="F61" s="72"/>
      <c r="G61" s="72"/>
      <c r="H61" s="73"/>
      <c r="I61" s="73"/>
      <c r="J61" s="73"/>
      <c r="K61" s="72"/>
      <c r="L61" s="72"/>
      <c r="M61" s="73"/>
      <c r="N61" s="73"/>
      <c r="O61" s="73"/>
      <c r="P61" s="72"/>
      <c r="Q61" s="73"/>
      <c r="R61" s="72"/>
      <c r="S61" s="72"/>
      <c r="T61" s="73"/>
      <c r="U61" s="72"/>
      <c r="V61" s="72"/>
      <c r="W61" s="72"/>
      <c r="X61" s="72"/>
      <c r="Y61" s="72"/>
      <c r="AB61" s="3"/>
      <c r="AC61" s="3"/>
      <c r="AD61" s="3"/>
      <c r="AE61" s="3"/>
      <c r="AF61" s="3"/>
      <c r="AG61" s="3"/>
      <c r="AH61" s="3"/>
      <c r="AI61" s="3"/>
      <c r="AJ61" s="3"/>
      <c r="AK61" s="3"/>
      <c r="AL61" s="3"/>
      <c r="AM61" s="3"/>
      <c r="AN61" s="3"/>
    </row>
    <row r="62" spans="1:40" hidden="1" x14ac:dyDescent="0.2">
      <c r="A62" s="72"/>
      <c r="B62" s="72"/>
      <c r="C62" s="72"/>
      <c r="D62" s="72"/>
      <c r="E62" s="72"/>
      <c r="F62" s="72"/>
      <c r="G62" s="72"/>
      <c r="H62" s="73"/>
      <c r="I62" s="73"/>
      <c r="J62" s="73"/>
      <c r="K62" s="72"/>
      <c r="L62" s="72"/>
      <c r="M62" s="73"/>
      <c r="N62" s="73"/>
      <c r="O62" s="73"/>
      <c r="P62" s="72"/>
      <c r="Q62" s="73"/>
      <c r="R62" s="72"/>
      <c r="S62" s="72"/>
      <c r="T62" s="73"/>
      <c r="U62" s="72"/>
      <c r="V62" s="72"/>
      <c r="W62" s="72"/>
      <c r="X62" s="72"/>
      <c r="Y62" s="72"/>
      <c r="AB62" s="3"/>
      <c r="AC62" s="3"/>
      <c r="AD62" s="3"/>
      <c r="AE62" s="3"/>
      <c r="AF62" s="3"/>
      <c r="AG62" s="3"/>
      <c r="AH62" s="3"/>
      <c r="AI62" s="3"/>
      <c r="AJ62" s="3"/>
      <c r="AK62" s="3"/>
      <c r="AL62" s="3"/>
      <c r="AM62" s="3"/>
      <c r="AN62" s="3"/>
    </row>
    <row r="63" spans="1:40" hidden="1" x14ac:dyDescent="0.2">
      <c r="A63" s="72"/>
      <c r="B63" s="72"/>
      <c r="C63" s="72"/>
      <c r="D63" s="72"/>
      <c r="E63" s="72"/>
      <c r="F63" s="72"/>
      <c r="G63" s="72"/>
      <c r="H63" s="73"/>
      <c r="I63" s="73"/>
      <c r="J63" s="73"/>
      <c r="K63" s="72"/>
      <c r="L63" s="72"/>
      <c r="M63" s="73"/>
      <c r="N63" s="73"/>
      <c r="O63" s="73"/>
      <c r="P63" s="72"/>
      <c r="Q63" s="73"/>
      <c r="R63" s="72"/>
      <c r="S63" s="72"/>
      <c r="T63" s="73"/>
      <c r="U63" s="72"/>
      <c r="V63" s="72"/>
      <c r="W63" s="72"/>
      <c r="X63" s="72"/>
      <c r="Y63" s="72"/>
      <c r="AB63" s="3"/>
      <c r="AC63" s="3"/>
      <c r="AD63" s="3"/>
      <c r="AE63" s="3"/>
      <c r="AF63" s="3"/>
      <c r="AG63" s="3"/>
      <c r="AH63" s="3"/>
      <c r="AI63" s="3"/>
      <c r="AJ63" s="3"/>
      <c r="AK63" s="3"/>
      <c r="AL63" s="3"/>
      <c r="AM63" s="3"/>
      <c r="AN63" s="3"/>
    </row>
    <row r="64" spans="1:40" hidden="1" x14ac:dyDescent="0.2">
      <c r="A64" s="72"/>
      <c r="B64" s="72"/>
      <c r="C64" s="72"/>
      <c r="D64" s="72"/>
      <c r="E64" s="72"/>
      <c r="F64" s="72"/>
      <c r="G64" s="72"/>
      <c r="H64" s="73"/>
      <c r="I64" s="73"/>
      <c r="J64" s="73"/>
      <c r="K64" s="72"/>
      <c r="L64" s="72"/>
      <c r="M64" s="73"/>
      <c r="N64" s="73"/>
      <c r="O64" s="73"/>
      <c r="P64" s="72"/>
      <c r="Q64" s="73"/>
      <c r="R64" s="72"/>
      <c r="S64" s="72"/>
      <c r="T64" s="73"/>
      <c r="U64" s="72"/>
      <c r="V64" s="72"/>
      <c r="W64" s="72"/>
      <c r="X64" s="72"/>
      <c r="Y64" s="72"/>
      <c r="AB64" s="3"/>
      <c r="AC64" s="3"/>
      <c r="AD64" s="3"/>
      <c r="AE64" s="3"/>
      <c r="AF64" s="3"/>
      <c r="AG64" s="3"/>
      <c r="AH64" s="3"/>
      <c r="AI64" s="3"/>
      <c r="AJ64" s="3"/>
      <c r="AK64" s="3"/>
      <c r="AL64" s="3"/>
      <c r="AM64" s="3"/>
      <c r="AN64" s="3"/>
    </row>
    <row r="65" spans="1:40" hidden="1" x14ac:dyDescent="0.2">
      <c r="A65" s="72"/>
      <c r="B65" s="72"/>
      <c r="C65" s="72"/>
      <c r="D65" s="72"/>
      <c r="E65" s="72"/>
      <c r="F65" s="72"/>
      <c r="G65" s="72"/>
      <c r="H65" s="73"/>
      <c r="I65" s="73"/>
      <c r="J65" s="73"/>
      <c r="K65" s="72"/>
      <c r="L65" s="72"/>
      <c r="M65" s="73"/>
      <c r="N65" s="73"/>
      <c r="O65" s="73"/>
      <c r="P65" s="72"/>
      <c r="Q65" s="73"/>
      <c r="R65" s="72"/>
      <c r="S65" s="72"/>
      <c r="T65" s="73"/>
      <c r="U65" s="72"/>
      <c r="V65" s="72"/>
      <c r="W65" s="72"/>
      <c r="X65" s="72"/>
      <c r="Y65" s="72"/>
      <c r="AB65" s="3"/>
      <c r="AC65" s="3"/>
      <c r="AD65" s="3"/>
      <c r="AE65" s="3"/>
      <c r="AF65" s="3"/>
      <c r="AG65" s="3"/>
      <c r="AH65" s="3"/>
      <c r="AI65" s="3"/>
      <c r="AJ65" s="3"/>
      <c r="AK65" s="3"/>
      <c r="AL65" s="3"/>
      <c r="AM65" s="3"/>
      <c r="AN65" s="3"/>
    </row>
    <row r="66" spans="1:40" hidden="1" x14ac:dyDescent="0.2">
      <c r="A66" s="72"/>
      <c r="B66" s="72"/>
      <c r="C66" s="72"/>
      <c r="D66" s="72"/>
      <c r="E66" s="72"/>
      <c r="F66" s="72"/>
      <c r="G66" s="72"/>
      <c r="H66" s="76"/>
      <c r="I66" s="73"/>
      <c r="J66" s="73"/>
      <c r="K66" s="72"/>
      <c r="L66" s="72"/>
      <c r="M66" s="73"/>
      <c r="N66" s="73"/>
      <c r="O66" s="73"/>
      <c r="P66" s="72"/>
      <c r="Q66" s="77"/>
      <c r="R66" s="72"/>
      <c r="S66" s="72"/>
      <c r="T66" s="73"/>
      <c r="U66" s="72"/>
      <c r="V66" s="72"/>
      <c r="W66" s="72"/>
      <c r="X66" s="72"/>
      <c r="Y66" s="72"/>
      <c r="AB66" s="3"/>
      <c r="AC66" s="3"/>
      <c r="AD66" s="3"/>
      <c r="AE66" s="3"/>
      <c r="AF66" s="3"/>
      <c r="AG66" s="3"/>
      <c r="AH66" s="3"/>
      <c r="AI66" s="3"/>
      <c r="AJ66" s="3"/>
      <c r="AK66" s="3"/>
      <c r="AL66" s="3"/>
      <c r="AM66" s="3"/>
      <c r="AN66" s="3"/>
    </row>
    <row r="67" spans="1:40" hidden="1" x14ac:dyDescent="0.2">
      <c r="A67" s="72"/>
      <c r="B67" s="78"/>
      <c r="C67" s="72"/>
      <c r="D67" s="72"/>
      <c r="E67" s="72"/>
      <c r="F67" s="72"/>
      <c r="G67" s="72"/>
      <c r="H67" s="76"/>
      <c r="I67" s="73"/>
      <c r="J67" s="73"/>
      <c r="K67" s="72"/>
      <c r="L67" s="72"/>
      <c r="M67" s="73"/>
      <c r="N67" s="73"/>
      <c r="O67" s="73"/>
      <c r="P67" s="72"/>
      <c r="Q67" s="77"/>
      <c r="R67" s="72"/>
      <c r="S67" s="72"/>
      <c r="T67" s="73"/>
      <c r="U67" s="72"/>
      <c r="V67" s="72"/>
      <c r="W67" s="72"/>
      <c r="X67" s="72"/>
      <c r="Y67" s="72"/>
      <c r="AB67" s="3"/>
      <c r="AC67" s="3"/>
      <c r="AD67" s="3"/>
      <c r="AE67" s="3"/>
      <c r="AF67" s="3"/>
      <c r="AG67" s="3"/>
      <c r="AH67" s="3"/>
      <c r="AI67" s="3"/>
      <c r="AJ67" s="3"/>
      <c r="AK67" s="3"/>
      <c r="AL67" s="3"/>
      <c r="AM67" s="3"/>
      <c r="AN67" s="3"/>
    </row>
    <row r="68" spans="1:40" hidden="1" x14ac:dyDescent="0.2">
      <c r="A68" s="72"/>
      <c r="B68" s="78"/>
      <c r="C68" s="72"/>
      <c r="D68" s="72"/>
      <c r="E68" s="72"/>
      <c r="F68" s="72"/>
      <c r="G68" s="72"/>
      <c r="H68" s="73"/>
      <c r="I68" s="73"/>
      <c r="J68" s="73"/>
      <c r="K68" s="72"/>
      <c r="L68" s="72"/>
      <c r="M68" s="73"/>
      <c r="N68" s="73"/>
      <c r="O68" s="73"/>
      <c r="P68" s="72"/>
      <c r="Q68" s="77"/>
      <c r="R68" s="72"/>
      <c r="S68" s="72"/>
      <c r="T68" s="73"/>
      <c r="U68" s="72"/>
      <c r="V68" s="72"/>
      <c r="W68" s="72"/>
      <c r="X68" s="72"/>
      <c r="Y68" s="72"/>
      <c r="AB68" s="3"/>
      <c r="AC68" s="3"/>
      <c r="AD68" s="3"/>
      <c r="AE68" s="3"/>
      <c r="AF68" s="3"/>
      <c r="AG68" s="3"/>
      <c r="AH68" s="3"/>
      <c r="AI68" s="3"/>
      <c r="AJ68" s="3"/>
      <c r="AK68" s="3"/>
      <c r="AL68" s="3"/>
      <c r="AM68" s="3"/>
      <c r="AN68" s="3"/>
    </row>
    <row r="69" spans="1:40" hidden="1" x14ac:dyDescent="0.2">
      <c r="A69" s="72"/>
      <c r="B69" s="78"/>
      <c r="C69" s="72"/>
      <c r="D69" s="72"/>
      <c r="E69" s="72"/>
      <c r="F69" s="72"/>
      <c r="G69" s="72"/>
      <c r="H69" s="73"/>
      <c r="I69" s="73"/>
      <c r="J69" s="73"/>
      <c r="K69" s="72"/>
      <c r="L69" s="72"/>
      <c r="M69" s="73"/>
      <c r="N69" s="73"/>
      <c r="O69" s="73"/>
      <c r="P69" s="72"/>
      <c r="Q69" s="77"/>
      <c r="R69" s="72"/>
      <c r="S69" s="72"/>
      <c r="T69" s="79"/>
      <c r="U69" s="72"/>
      <c r="V69" s="72"/>
      <c r="W69" s="72"/>
      <c r="X69" s="72"/>
      <c r="Y69" s="72"/>
      <c r="AB69" s="3"/>
      <c r="AC69" s="3"/>
      <c r="AD69" s="3"/>
      <c r="AE69" s="3"/>
      <c r="AF69" s="3"/>
      <c r="AG69" s="3"/>
      <c r="AH69" s="3"/>
      <c r="AI69" s="3"/>
      <c r="AJ69" s="3"/>
      <c r="AK69" s="3"/>
      <c r="AL69" s="3"/>
      <c r="AM69" s="3"/>
      <c r="AN69" s="3"/>
    </row>
    <row r="70" spans="1:40" hidden="1" x14ac:dyDescent="0.2">
      <c r="A70" s="72"/>
      <c r="B70" s="78"/>
      <c r="C70" s="72"/>
      <c r="D70" s="72"/>
      <c r="E70" s="72"/>
      <c r="F70" s="72"/>
      <c r="G70" s="72"/>
      <c r="H70" s="73"/>
      <c r="I70" s="73"/>
      <c r="J70" s="73"/>
      <c r="K70" s="72"/>
      <c r="L70" s="72"/>
      <c r="M70" s="73"/>
      <c r="N70" s="73"/>
      <c r="O70" s="73"/>
      <c r="P70" s="72"/>
      <c r="Q70" s="77"/>
      <c r="R70" s="72"/>
      <c r="S70" s="72"/>
      <c r="T70" s="73"/>
      <c r="U70" s="72"/>
      <c r="V70" s="72"/>
      <c r="W70" s="72"/>
      <c r="X70" s="72"/>
      <c r="Y70" s="72"/>
      <c r="AB70" s="3"/>
      <c r="AC70" s="3"/>
      <c r="AD70" s="3"/>
      <c r="AE70" s="3"/>
      <c r="AF70" s="3"/>
      <c r="AG70" s="3"/>
      <c r="AH70" s="3"/>
      <c r="AI70" s="3"/>
      <c r="AJ70" s="3"/>
      <c r="AK70" s="3"/>
      <c r="AL70" s="3"/>
      <c r="AM70" s="3"/>
      <c r="AN70" s="3"/>
    </row>
    <row r="71" spans="1:40" hidden="1" x14ac:dyDescent="0.2">
      <c r="A71" s="72"/>
      <c r="B71" s="78"/>
      <c r="C71" s="72"/>
      <c r="D71" s="72"/>
      <c r="E71" s="72"/>
      <c r="F71" s="72"/>
      <c r="G71" s="72"/>
      <c r="H71" s="73"/>
      <c r="I71" s="73"/>
      <c r="J71" s="73"/>
      <c r="K71" s="72"/>
      <c r="L71" s="72"/>
      <c r="M71" s="73"/>
      <c r="N71" s="73"/>
      <c r="O71" s="73"/>
      <c r="P71" s="72"/>
      <c r="Q71" s="73"/>
      <c r="R71" s="72"/>
      <c r="S71" s="72"/>
      <c r="T71" s="73"/>
      <c r="U71" s="72"/>
      <c r="V71" s="72"/>
      <c r="W71" s="72"/>
      <c r="X71" s="72"/>
      <c r="Y71" s="72"/>
      <c r="AB71" s="3"/>
      <c r="AC71" s="3"/>
      <c r="AD71" s="3"/>
      <c r="AE71" s="3"/>
      <c r="AF71" s="3"/>
      <c r="AG71" s="3"/>
      <c r="AH71" s="3"/>
      <c r="AI71" s="3"/>
      <c r="AJ71" s="3"/>
      <c r="AK71" s="3"/>
      <c r="AL71" s="3"/>
      <c r="AM71" s="3"/>
      <c r="AN71" s="3"/>
    </row>
    <row r="72" spans="1:40" hidden="1" x14ac:dyDescent="0.2">
      <c r="A72" s="72"/>
      <c r="B72" s="80"/>
      <c r="C72" s="72"/>
      <c r="D72" s="72"/>
      <c r="E72" s="72"/>
      <c r="F72" s="72"/>
      <c r="G72" s="72"/>
      <c r="H72" s="73"/>
      <c r="I72" s="73"/>
      <c r="J72" s="73"/>
      <c r="K72" s="72"/>
      <c r="L72" s="72"/>
      <c r="M72" s="73"/>
      <c r="N72" s="73"/>
      <c r="O72" s="73"/>
      <c r="P72" s="72"/>
      <c r="Q72" s="73"/>
      <c r="R72" s="72"/>
      <c r="S72" s="72"/>
      <c r="T72" s="73"/>
      <c r="U72" s="72"/>
      <c r="V72" s="72"/>
      <c r="W72" s="72"/>
      <c r="X72" s="72"/>
      <c r="Y72" s="72"/>
      <c r="AB72" s="3"/>
      <c r="AC72" s="3"/>
      <c r="AD72" s="3"/>
      <c r="AE72" s="3"/>
      <c r="AF72" s="3"/>
      <c r="AG72" s="3"/>
      <c r="AH72" s="3"/>
      <c r="AI72" s="3"/>
      <c r="AJ72" s="3"/>
      <c r="AK72" s="3"/>
      <c r="AL72" s="3"/>
      <c r="AM72" s="3"/>
      <c r="AN72" s="3"/>
    </row>
    <row r="73" spans="1:40" hidden="1" x14ac:dyDescent="0.2">
      <c r="A73" s="72"/>
      <c r="B73" s="78"/>
      <c r="C73" s="72"/>
      <c r="D73" s="72"/>
      <c r="E73" s="78"/>
      <c r="F73" s="78"/>
      <c r="G73" s="78"/>
      <c r="H73" s="73"/>
      <c r="I73" s="73"/>
      <c r="J73" s="73"/>
      <c r="K73" s="72"/>
      <c r="L73" s="72"/>
      <c r="M73" s="73"/>
      <c r="N73" s="73"/>
      <c r="O73" s="73"/>
      <c r="P73" s="72"/>
      <c r="Q73" s="73"/>
      <c r="R73" s="72"/>
      <c r="S73" s="72"/>
      <c r="T73" s="73"/>
      <c r="U73" s="72"/>
      <c r="V73" s="72"/>
      <c r="W73" s="72"/>
      <c r="X73" s="72"/>
      <c r="Y73" s="72"/>
      <c r="AB73" s="3"/>
      <c r="AC73" s="3"/>
      <c r="AD73" s="3"/>
      <c r="AE73" s="3"/>
      <c r="AF73" s="3"/>
      <c r="AG73" s="3"/>
      <c r="AH73" s="3"/>
      <c r="AI73" s="3"/>
      <c r="AJ73" s="3"/>
      <c r="AK73" s="3"/>
      <c r="AL73" s="3"/>
      <c r="AM73" s="3"/>
      <c r="AN73" s="3"/>
    </row>
    <row r="74" spans="1:40" hidden="1" x14ac:dyDescent="0.2">
      <c r="A74" s="72"/>
      <c r="B74" s="78"/>
      <c r="C74" s="72"/>
      <c r="D74" s="72"/>
      <c r="E74" s="78"/>
      <c r="F74" s="78"/>
      <c r="G74" s="78"/>
      <c r="H74" s="73"/>
      <c r="I74" s="73"/>
      <c r="J74" s="73"/>
      <c r="K74" s="72"/>
      <c r="L74" s="72"/>
      <c r="M74" s="73"/>
      <c r="N74" s="73"/>
      <c r="O74" s="73"/>
      <c r="P74" s="72"/>
      <c r="Q74" s="73"/>
      <c r="R74" s="72"/>
      <c r="S74" s="72"/>
      <c r="T74" s="73"/>
      <c r="U74" s="72"/>
      <c r="V74" s="72"/>
      <c r="W74" s="72"/>
      <c r="X74" s="72"/>
      <c r="Y74" s="72"/>
      <c r="AB74" s="3"/>
      <c r="AC74" s="3"/>
      <c r="AD74" s="3"/>
      <c r="AE74" s="3"/>
      <c r="AF74" s="3"/>
      <c r="AG74" s="3"/>
      <c r="AH74" s="3"/>
      <c r="AI74" s="3"/>
      <c r="AJ74" s="3"/>
      <c r="AK74" s="3"/>
      <c r="AL74" s="3"/>
      <c r="AM74" s="3"/>
      <c r="AN74" s="3"/>
    </row>
    <row r="75" spans="1:40" hidden="1" x14ac:dyDescent="0.2">
      <c r="A75" s="72"/>
      <c r="B75" s="78"/>
      <c r="C75" s="72"/>
      <c r="D75" s="72"/>
      <c r="E75" s="78"/>
      <c r="F75" s="78"/>
      <c r="G75" s="78"/>
      <c r="H75" s="73"/>
      <c r="I75" s="73"/>
      <c r="J75" s="73"/>
      <c r="K75" s="72"/>
      <c r="L75" s="72"/>
      <c r="M75" s="73"/>
      <c r="N75" s="73"/>
      <c r="O75" s="73"/>
      <c r="P75" s="72"/>
      <c r="Q75" s="73"/>
      <c r="R75" s="72"/>
      <c r="S75" s="72"/>
      <c r="T75" s="73"/>
      <c r="U75" s="72"/>
      <c r="V75" s="72"/>
      <c r="W75" s="72"/>
      <c r="X75" s="72"/>
      <c r="Y75" s="72"/>
      <c r="AB75" s="3"/>
      <c r="AC75" s="3"/>
      <c r="AD75" s="3"/>
      <c r="AE75" s="3"/>
      <c r="AF75" s="3"/>
      <c r="AG75" s="3"/>
      <c r="AH75" s="3"/>
      <c r="AI75" s="3"/>
      <c r="AJ75" s="3"/>
      <c r="AK75" s="3"/>
      <c r="AL75" s="3"/>
      <c r="AM75" s="3"/>
      <c r="AN75" s="3"/>
    </row>
    <row r="76" spans="1:40" hidden="1" x14ac:dyDescent="0.2">
      <c r="A76" s="72"/>
      <c r="B76" s="78"/>
      <c r="C76" s="72"/>
      <c r="D76" s="72"/>
      <c r="E76" s="78"/>
      <c r="F76" s="78"/>
      <c r="G76" s="78"/>
      <c r="H76" s="73"/>
      <c r="I76" s="73"/>
      <c r="J76" s="73"/>
      <c r="K76" s="72"/>
      <c r="L76" s="72"/>
      <c r="M76" s="73"/>
      <c r="N76" s="73"/>
      <c r="O76" s="73"/>
      <c r="P76" s="72"/>
      <c r="Q76" s="73"/>
      <c r="R76" s="72"/>
      <c r="S76" s="72"/>
      <c r="T76" s="73"/>
      <c r="U76" s="72"/>
      <c r="V76" s="72"/>
      <c r="W76" s="72"/>
      <c r="X76" s="72"/>
      <c r="Y76" s="72"/>
      <c r="AB76" s="3"/>
      <c r="AC76" s="3"/>
      <c r="AD76" s="3"/>
      <c r="AE76" s="3"/>
      <c r="AF76" s="3"/>
      <c r="AG76" s="3"/>
      <c r="AH76" s="3"/>
      <c r="AI76" s="3"/>
      <c r="AJ76" s="3"/>
      <c r="AK76" s="3"/>
      <c r="AL76" s="3"/>
      <c r="AM76" s="3"/>
      <c r="AN76" s="3"/>
    </row>
    <row r="77" spans="1:40" hidden="1" x14ac:dyDescent="0.2">
      <c r="A77" s="72"/>
      <c r="B77" s="78"/>
      <c r="C77" s="72"/>
      <c r="D77" s="72"/>
      <c r="E77" s="78"/>
      <c r="F77" s="78"/>
      <c r="G77" s="78"/>
      <c r="H77" s="72"/>
      <c r="I77" s="72"/>
      <c r="J77" s="72"/>
      <c r="K77" s="72"/>
      <c r="L77" s="72"/>
      <c r="M77" s="72"/>
      <c r="N77" s="72"/>
      <c r="O77" s="72"/>
      <c r="P77" s="72"/>
      <c r="Q77" s="72"/>
      <c r="R77" s="72"/>
      <c r="S77" s="72"/>
      <c r="T77" s="72"/>
      <c r="U77" s="72"/>
      <c r="V77" s="72"/>
      <c r="W77" s="72"/>
      <c r="X77" s="72"/>
      <c r="Y77" s="72"/>
      <c r="AB77" s="3"/>
      <c r="AC77" s="3"/>
      <c r="AD77" s="3"/>
      <c r="AE77" s="3"/>
      <c r="AF77" s="3"/>
      <c r="AG77" s="3"/>
      <c r="AH77" s="3"/>
      <c r="AI77" s="3"/>
      <c r="AJ77" s="3"/>
      <c r="AK77" s="3"/>
      <c r="AL77" s="3"/>
      <c r="AM77" s="3"/>
      <c r="AN77" s="3"/>
    </row>
    <row r="78" spans="1:40" hidden="1" x14ac:dyDescent="0.2">
      <c r="A78" s="72"/>
      <c r="B78" s="78"/>
      <c r="C78" s="72"/>
      <c r="D78" s="72"/>
      <c r="E78" s="78"/>
      <c r="F78" s="78"/>
      <c r="G78" s="78"/>
      <c r="H78" s="72"/>
      <c r="I78" s="72"/>
      <c r="J78" s="72"/>
      <c r="K78" s="72"/>
      <c r="L78" s="72"/>
      <c r="M78" s="72"/>
      <c r="N78" s="72"/>
      <c r="O78" s="72"/>
      <c r="P78" s="72"/>
      <c r="Q78" s="72"/>
      <c r="R78" s="72"/>
      <c r="S78" s="72"/>
      <c r="T78" s="72"/>
      <c r="U78" s="72"/>
      <c r="V78" s="72"/>
      <c r="W78" s="72"/>
      <c r="X78" s="72"/>
      <c r="Y78" s="72"/>
      <c r="AB78" s="3"/>
      <c r="AC78" s="3"/>
      <c r="AD78" s="3"/>
      <c r="AE78" s="3"/>
      <c r="AF78" s="3"/>
      <c r="AG78" s="3"/>
      <c r="AH78" s="3"/>
      <c r="AI78" s="3"/>
      <c r="AJ78" s="3"/>
      <c r="AK78" s="3"/>
      <c r="AL78" s="3"/>
      <c r="AM78" s="3"/>
      <c r="AN78" s="3"/>
    </row>
    <row r="79" spans="1:40" hidden="1" x14ac:dyDescent="0.2">
      <c r="A79" s="72"/>
      <c r="B79" s="78"/>
      <c r="C79" s="72"/>
      <c r="D79" s="72"/>
      <c r="E79" s="78"/>
      <c r="F79" s="78"/>
      <c r="G79" s="78"/>
      <c r="H79" s="72"/>
      <c r="I79" s="72"/>
      <c r="J79" s="72"/>
      <c r="K79" s="72"/>
      <c r="L79" s="72"/>
      <c r="M79" s="72"/>
      <c r="N79" s="72"/>
      <c r="O79" s="72"/>
      <c r="P79" s="72"/>
      <c r="Q79" s="72"/>
      <c r="R79" s="72"/>
      <c r="S79" s="72"/>
      <c r="T79" s="72"/>
      <c r="U79" s="72"/>
      <c r="V79" s="72"/>
      <c r="W79" s="72"/>
      <c r="X79" s="72"/>
      <c r="Y79" s="72"/>
      <c r="AB79" s="3"/>
      <c r="AC79" s="3"/>
      <c r="AD79" s="3"/>
      <c r="AE79" s="3"/>
      <c r="AF79" s="3"/>
      <c r="AG79" s="3"/>
      <c r="AH79" s="3"/>
      <c r="AI79" s="3"/>
      <c r="AJ79" s="3"/>
      <c r="AK79" s="3"/>
      <c r="AL79" s="3"/>
      <c r="AM79" s="3"/>
      <c r="AN79" s="3"/>
    </row>
    <row r="80" spans="1:40" hidden="1" x14ac:dyDescent="0.2">
      <c r="A80" s="72"/>
      <c r="B80" s="78"/>
      <c r="C80" s="72"/>
      <c r="D80" s="72"/>
      <c r="E80" s="78"/>
      <c r="F80" s="78"/>
      <c r="G80" s="154"/>
      <c r="H80" s="72"/>
      <c r="I80" s="72"/>
      <c r="J80" s="72"/>
      <c r="K80" s="72"/>
      <c r="L80" s="72"/>
      <c r="M80" s="72"/>
      <c r="N80" s="72"/>
      <c r="O80" s="72"/>
      <c r="P80" s="72"/>
      <c r="Q80" s="72"/>
      <c r="R80" s="72"/>
      <c r="S80" s="72"/>
      <c r="T80" s="72"/>
      <c r="U80" s="72"/>
      <c r="V80" s="72"/>
      <c r="W80" s="72"/>
      <c r="X80" s="72"/>
      <c r="Y80" s="72"/>
      <c r="AB80" s="3"/>
      <c r="AC80" s="3"/>
      <c r="AD80" s="3"/>
      <c r="AE80" s="3"/>
      <c r="AF80" s="3"/>
      <c r="AG80" s="3"/>
      <c r="AH80" s="3"/>
      <c r="AI80" s="3"/>
      <c r="AJ80" s="3"/>
      <c r="AK80" s="3"/>
      <c r="AL80" s="3"/>
      <c r="AM80" s="3"/>
      <c r="AN80" s="3"/>
    </row>
    <row r="81" spans="1:40" hidden="1" x14ac:dyDescent="0.2">
      <c r="A81" s="72"/>
      <c r="E81" s="80"/>
      <c r="F81" s="80"/>
      <c r="G81" s="80"/>
      <c r="H81" s="72"/>
      <c r="I81" s="72"/>
      <c r="J81" s="72"/>
      <c r="K81" s="72"/>
      <c r="L81" s="72"/>
      <c r="M81" s="72"/>
      <c r="N81" s="72"/>
      <c r="O81" s="72"/>
      <c r="P81" s="72"/>
      <c r="Q81" s="72"/>
      <c r="S81" s="72"/>
      <c r="T81" s="72"/>
      <c r="U81" s="72"/>
      <c r="V81" s="72"/>
      <c r="W81" s="72"/>
      <c r="X81" s="72"/>
      <c r="Y81" s="72"/>
      <c r="AB81" s="3"/>
      <c r="AC81" s="3"/>
      <c r="AD81" s="3"/>
      <c r="AE81" s="3"/>
      <c r="AF81" s="3"/>
      <c r="AG81" s="3"/>
      <c r="AH81" s="3"/>
      <c r="AI81" s="3"/>
      <c r="AJ81" s="3"/>
      <c r="AK81" s="3"/>
      <c r="AL81" s="3"/>
      <c r="AM81" s="3"/>
      <c r="AN81" s="3"/>
    </row>
    <row r="82" spans="1:40" hidden="1" x14ac:dyDescent="0.2">
      <c r="A82" s="72"/>
      <c r="B82" s="155"/>
      <c r="C82" s="156"/>
      <c r="D82" s="156"/>
      <c r="E82" s="155"/>
      <c r="F82" s="155"/>
      <c r="G82" s="155"/>
      <c r="H82" s="72"/>
      <c r="I82" s="72"/>
      <c r="J82" s="72"/>
      <c r="K82" s="72"/>
      <c r="L82" s="72"/>
      <c r="M82" s="72"/>
      <c r="N82" s="72"/>
      <c r="O82" s="72"/>
      <c r="P82" s="72"/>
      <c r="Q82" s="72"/>
      <c r="R82" s="157"/>
      <c r="S82" s="72"/>
      <c r="T82" s="72"/>
      <c r="U82" s="72"/>
      <c r="V82" s="72"/>
      <c r="W82" s="72"/>
      <c r="X82" s="72"/>
      <c r="Y82" s="72"/>
      <c r="AB82" s="3"/>
      <c r="AC82" s="3"/>
      <c r="AD82" s="3"/>
      <c r="AE82" s="3"/>
      <c r="AF82" s="3"/>
      <c r="AG82" s="3"/>
      <c r="AH82" s="3"/>
      <c r="AI82" s="3"/>
      <c r="AJ82" s="3"/>
      <c r="AK82" s="3"/>
      <c r="AL82" s="3"/>
      <c r="AM82" s="3"/>
      <c r="AN82" s="3"/>
    </row>
    <row r="83" spans="1:40" hidden="1" x14ac:dyDescent="0.2">
      <c r="A83" s="72"/>
      <c r="B83" s="78"/>
      <c r="C83" s="72"/>
      <c r="D83" s="72"/>
      <c r="E83" s="78"/>
      <c r="F83" s="78"/>
      <c r="G83" s="78"/>
      <c r="H83" s="72"/>
      <c r="I83" s="72"/>
      <c r="J83" s="72"/>
      <c r="K83" s="72"/>
      <c r="L83" s="72"/>
      <c r="M83" s="72"/>
      <c r="N83" s="72"/>
      <c r="O83" s="72"/>
      <c r="P83" s="72"/>
      <c r="Q83" s="72"/>
      <c r="R83" s="157"/>
      <c r="S83" s="72"/>
      <c r="T83" s="72"/>
      <c r="U83" s="72"/>
      <c r="V83" s="72"/>
      <c r="W83" s="72"/>
      <c r="X83" s="72"/>
      <c r="Y83" s="72"/>
      <c r="AB83" s="3"/>
      <c r="AC83" s="3"/>
      <c r="AD83" s="3"/>
      <c r="AE83" s="3"/>
      <c r="AF83" s="3"/>
      <c r="AG83" s="75"/>
      <c r="AH83" s="3"/>
      <c r="AI83" s="3"/>
      <c r="AJ83" s="3"/>
      <c r="AK83" s="3"/>
      <c r="AL83" s="3"/>
      <c r="AM83" s="3"/>
      <c r="AN83" s="3"/>
    </row>
    <row r="84" spans="1:40" hidden="1" x14ac:dyDescent="0.2">
      <c r="A84" s="72"/>
      <c r="B84" s="78"/>
      <c r="C84" s="72"/>
      <c r="D84" s="72"/>
      <c r="E84" s="78"/>
      <c r="F84" s="78"/>
      <c r="G84" s="78"/>
      <c r="H84" s="72"/>
      <c r="I84" s="72"/>
      <c r="J84" s="72"/>
      <c r="K84" s="72"/>
      <c r="L84" s="72"/>
      <c r="M84" s="72"/>
      <c r="N84" s="72"/>
      <c r="O84" s="72"/>
      <c r="P84" s="72"/>
      <c r="Q84" s="72"/>
      <c r="R84" s="158" t="s">
        <v>94</v>
      </c>
      <c r="S84" s="159" t="s">
        <v>95</v>
      </c>
      <c r="T84" s="159" t="s">
        <v>96</v>
      </c>
      <c r="U84" s="159" t="s">
        <v>97</v>
      </c>
      <c r="V84" s="159"/>
      <c r="W84" s="72"/>
      <c r="X84" s="72"/>
      <c r="Y84" s="72"/>
      <c r="AB84" s="3"/>
      <c r="AC84" s="3"/>
      <c r="AD84" s="160" t="s">
        <v>68</v>
      </c>
      <c r="AE84" s="74">
        <f>I28</f>
        <v>0</v>
      </c>
      <c r="AF84" s="3"/>
      <c r="AG84" s="3"/>
      <c r="AH84" s="3"/>
      <c r="AI84" s="3" t="s">
        <v>98</v>
      </c>
      <c r="AJ84" s="3"/>
      <c r="AK84" s="3"/>
      <c r="AL84" s="3"/>
      <c r="AM84" s="3"/>
      <c r="AN84" s="3"/>
    </row>
    <row r="85" spans="1:40" hidden="1" x14ac:dyDescent="0.2">
      <c r="A85" s="72"/>
      <c r="H85" s="72"/>
      <c r="I85" s="72"/>
      <c r="J85" s="72"/>
      <c r="K85" s="72"/>
      <c r="L85" s="72"/>
      <c r="M85" s="72"/>
      <c r="N85" s="72"/>
      <c r="O85" s="72"/>
      <c r="P85" s="72"/>
      <c r="Q85" s="72"/>
      <c r="R85" s="72">
        <v>5.0000000000000001E-3</v>
      </c>
      <c r="S85" s="72">
        <v>1</v>
      </c>
      <c r="T85" s="72"/>
      <c r="U85" s="72" t="e">
        <f>VLOOKUP(Q7,T86:U90,2,FALSE)</f>
        <v>#N/A</v>
      </c>
      <c r="V85" s="161"/>
      <c r="W85" s="72"/>
      <c r="X85" s="161"/>
      <c r="Y85" s="72"/>
      <c r="AB85" s="162"/>
      <c r="AC85" s="162"/>
      <c r="AD85" s="163" t="s">
        <v>99</v>
      </c>
      <c r="AE85" s="164">
        <f>SUM(AB11:AB22)</f>
        <v>0</v>
      </c>
      <c r="AF85" s="165"/>
      <c r="AG85" s="75"/>
      <c r="AH85" s="3"/>
      <c r="AI85" s="3"/>
      <c r="AJ85" s="3"/>
      <c r="AK85" s="3"/>
      <c r="AL85" s="3"/>
      <c r="AM85" s="3"/>
      <c r="AN85" s="3"/>
    </row>
    <row r="86" spans="1:40" hidden="1" x14ac:dyDescent="0.2">
      <c r="A86" s="72"/>
      <c r="H86" s="72"/>
      <c r="I86" s="72"/>
      <c r="J86" s="72"/>
      <c r="K86" s="72"/>
      <c r="L86" s="72"/>
      <c r="M86" s="72"/>
      <c r="N86" s="72"/>
      <c r="O86" s="72"/>
      <c r="P86" s="72"/>
      <c r="Q86" s="72"/>
      <c r="R86" s="72"/>
      <c r="S86" s="72">
        <v>1</v>
      </c>
      <c r="T86" s="72" t="s">
        <v>70</v>
      </c>
      <c r="U86" s="72">
        <v>1.5</v>
      </c>
      <c r="V86" s="161" t="b">
        <f>AND(Q$7=T86,Q$29&gt;=U86,Q$31&gt;S86)</f>
        <v>0</v>
      </c>
      <c r="W86" s="72"/>
      <c r="X86" s="161" t="b">
        <f>AND(Q$29&gt;U86*0.9,Q$31&gt;1)</f>
        <v>0</v>
      </c>
      <c r="Y86" s="72"/>
      <c r="AB86" s="162" t="str">
        <f>IF(V86=TRUE,T$96,IF(X86=TRUE,T$97,T$98))</f>
        <v>Insufficient Income</v>
      </c>
      <c r="AC86" s="162"/>
      <c r="AD86" s="162"/>
      <c r="AE86" s="48" t="e">
        <f>(AE$84-AE$85*U86)/U86/T$8</f>
        <v>#DIV/0!</v>
      </c>
      <c r="AF86" s="48">
        <v>5000000</v>
      </c>
      <c r="AG86" s="75" t="e">
        <f>MIN(AE86:AF86,$AI$86)</f>
        <v>#DIV/0!</v>
      </c>
      <c r="AH86" s="3"/>
      <c r="AI86" s="166" t="e">
        <f>(I28-(S85+R85)*SUM(AG11:AG22))/((S85+R85)*PMT(MAX(T8+AG6,AG5)/12,(V8-X8)*12,-1))/12</f>
        <v>#NUM!</v>
      </c>
      <c r="AK86" s="3"/>
      <c r="AL86" s="3"/>
      <c r="AM86" s="3"/>
      <c r="AN86" s="3"/>
    </row>
    <row r="87" spans="1:40" hidden="1" x14ac:dyDescent="0.2">
      <c r="A87" s="72"/>
      <c r="B87" s="78"/>
      <c r="C87" s="72"/>
      <c r="D87" s="72"/>
      <c r="E87" s="78"/>
      <c r="F87" s="78"/>
      <c r="G87" s="78"/>
      <c r="H87" s="72"/>
      <c r="I87" s="72"/>
      <c r="J87" s="72"/>
      <c r="K87" s="72"/>
      <c r="L87" s="72"/>
      <c r="M87" s="72"/>
      <c r="N87" s="72"/>
      <c r="O87" s="72"/>
      <c r="P87" s="72"/>
      <c r="Q87" s="72"/>
      <c r="R87" s="167"/>
      <c r="S87" s="72">
        <v>1</v>
      </c>
      <c r="T87" s="72" t="s">
        <v>71</v>
      </c>
      <c r="U87" s="72">
        <v>1.75</v>
      </c>
      <c r="V87" s="161" t="b">
        <f>AND(Q$7=T87,Q$29&gt;=U87,Q$31&gt;S87)</f>
        <v>0</v>
      </c>
      <c r="W87" s="72"/>
      <c r="X87" s="161" t="b">
        <f>AND(Q$29&gt;U87*0.9,Q$31&gt;1,AD87=TRUE)</f>
        <v>0</v>
      </c>
      <c r="Y87" s="72"/>
      <c r="AB87" s="162" t="str">
        <f>IF(AND(Q29&gt;U88,Q31&gt;S87)=TRUE,T96,IF(AD87=FALSE,T98,IF(AND(Q8&gt;AC87,Q29&gt;U88*0.95,Q31&gt;1)=TRUE,T97,IF(V87=TRUE,T$96,IF(X87=TRUE,T$97,T$98)))))</f>
        <v>Insufficient Income</v>
      </c>
      <c r="AC87" s="168">
        <v>2000000</v>
      </c>
      <c r="AD87" s="162" t="b">
        <f>IF(Q8&lt;=AC87,TRUE,AND(Q8&gt;AC87,Q$29&gt;U88*0.95,Q$31&gt;1))</f>
        <v>1</v>
      </c>
      <c r="AE87" s="48" t="e">
        <f t="shared" ref="AE87:AE92" si="16">(AE$84-AE$85*U87)/U87/T$8</f>
        <v>#DIV/0!</v>
      </c>
      <c r="AF87" s="48">
        <v>2000000</v>
      </c>
      <c r="AG87" s="75" t="e">
        <f>IF(AND(Q29&gt;U88,Q31&gt;S87)=TRUE,MIN(AE87,AH87,AI86),MIN(AE87:AF87,AI86))</f>
        <v>#DIV/0!</v>
      </c>
      <c r="AH87" s="48">
        <v>4000000</v>
      </c>
      <c r="AI87" s="3"/>
      <c r="AJ87" s="3"/>
      <c r="AK87" s="169"/>
      <c r="AL87" s="3"/>
      <c r="AM87" s="3"/>
      <c r="AN87" s="3"/>
    </row>
    <row r="88" spans="1:40" hidden="1" x14ac:dyDescent="0.2">
      <c r="A88" s="72"/>
      <c r="B88" s="72"/>
      <c r="C88" s="72"/>
      <c r="D88" s="72"/>
      <c r="E88" s="78"/>
      <c r="F88" s="78"/>
      <c r="G88" s="154"/>
      <c r="H88" s="72"/>
      <c r="I88" s="72"/>
      <c r="J88" s="72"/>
      <c r="K88" s="72"/>
      <c r="L88" s="72"/>
      <c r="M88" s="72"/>
      <c r="N88" s="72"/>
      <c r="O88" s="72"/>
      <c r="P88" s="72"/>
      <c r="Q88" s="72"/>
      <c r="R88" s="72"/>
      <c r="S88" s="72">
        <v>1</v>
      </c>
      <c r="T88" s="72" t="s">
        <v>100</v>
      </c>
      <c r="U88" s="72">
        <v>2</v>
      </c>
      <c r="V88" s="161" t="b">
        <f>AND(Q$7=T88,Q$29&gt;=U88,Q$31&gt;S88)</f>
        <v>0</v>
      </c>
      <c r="W88" s="72"/>
      <c r="X88" s="161" t="b">
        <f>AND(Q$29&gt;U88*0.9,Q$31&gt;1)</f>
        <v>0</v>
      </c>
      <c r="Y88" s="72"/>
      <c r="AB88" s="162" t="str">
        <f>IF(V88=TRUE,T$96,IF(X88=TRUE,T$97,T$98))</f>
        <v>Insufficient Income</v>
      </c>
      <c r="AC88" s="162"/>
      <c r="AD88" s="162"/>
      <c r="AE88" s="48" t="e">
        <f t="shared" si="16"/>
        <v>#DIV/0!</v>
      </c>
      <c r="AF88" s="48">
        <f>AF87</f>
        <v>2000000</v>
      </c>
      <c r="AG88" s="75" t="e">
        <f>MIN(AE88:AF88,$AI$86)</f>
        <v>#DIV/0!</v>
      </c>
      <c r="AH88" s="3"/>
      <c r="AI88" s="3"/>
      <c r="AJ88" s="3"/>
      <c r="AK88" s="3"/>
      <c r="AL88" s="3"/>
      <c r="AM88" s="3"/>
      <c r="AN88" s="3"/>
    </row>
    <row r="89" spans="1:40" hidden="1" x14ac:dyDescent="0.2">
      <c r="A89" s="72"/>
      <c r="B89" s="72"/>
      <c r="C89" s="72"/>
      <c r="D89" s="72"/>
      <c r="E89" s="72"/>
      <c r="F89" s="72"/>
      <c r="G89" s="72"/>
      <c r="H89" s="72"/>
      <c r="I89" s="72"/>
      <c r="J89" s="72"/>
      <c r="K89" s="72"/>
      <c r="L89" s="72"/>
      <c r="M89" s="72"/>
      <c r="N89" s="72"/>
      <c r="O89" s="72"/>
      <c r="P89" s="72"/>
      <c r="Q89" s="72"/>
      <c r="R89" s="72"/>
      <c r="S89" s="72">
        <v>1</v>
      </c>
      <c r="T89" s="72" t="s">
        <v>101</v>
      </c>
      <c r="U89" s="72">
        <v>1.5</v>
      </c>
      <c r="V89" s="161" t="b">
        <f>AND(Q$7=T89,Q$29&gt;=U89,Q$31&gt;S89)</f>
        <v>0</v>
      </c>
      <c r="W89" s="72"/>
      <c r="X89" s="161" t="b">
        <f>AND(Q$29&gt;U89*0.9,Q$31&gt;1)</f>
        <v>0</v>
      </c>
      <c r="Y89" s="72"/>
      <c r="AB89" s="162" t="str">
        <f>IF(V89=TRUE,T$96,IF(X89=TRUE,T$97,T$98))</f>
        <v>Insufficient Income</v>
      </c>
      <c r="AC89" s="162"/>
      <c r="AD89" s="162"/>
      <c r="AE89" s="48" t="e">
        <f t="shared" si="16"/>
        <v>#DIV/0!</v>
      </c>
      <c r="AF89" s="48">
        <v>4000000</v>
      </c>
      <c r="AG89" s="75" t="e">
        <f>MIN(AE89:AF89,AI86)</f>
        <v>#DIV/0!</v>
      </c>
      <c r="AH89" s="3"/>
      <c r="AI89" s="3"/>
      <c r="AJ89" s="3"/>
      <c r="AK89" s="3"/>
      <c r="AL89" s="3"/>
      <c r="AM89" s="3"/>
      <c r="AN89" s="3"/>
    </row>
    <row r="90" spans="1:40" hidden="1" x14ac:dyDescent="0.2">
      <c r="A90" s="72"/>
      <c r="B90" s="72"/>
      <c r="C90" s="72"/>
      <c r="D90" s="72"/>
      <c r="E90" s="72"/>
      <c r="F90" s="72"/>
      <c r="G90" s="72"/>
      <c r="H90" s="72"/>
      <c r="I90" s="72"/>
      <c r="J90" s="72"/>
      <c r="K90" s="72"/>
      <c r="L90" s="72"/>
      <c r="M90" s="72"/>
      <c r="N90" s="72"/>
      <c r="O90" s="72"/>
      <c r="P90" s="72"/>
      <c r="Q90" s="72" t="s">
        <v>102</v>
      </c>
      <c r="R90" s="72" t="s">
        <v>103</v>
      </c>
      <c r="S90" s="72"/>
      <c r="T90" s="72" t="s">
        <v>104</v>
      </c>
      <c r="U90" s="72">
        <v>1.25</v>
      </c>
      <c r="V90" s="161" t="b">
        <f>AND(Q$7=T90,Q$29&gt;=U90)</f>
        <v>0</v>
      </c>
      <c r="W90" s="72"/>
      <c r="X90" s="161" t="b">
        <f>AND(Q$29&gt;U90*0.9)</f>
        <v>0</v>
      </c>
      <c r="Y90" s="72"/>
      <c r="AB90" s="162" t="str">
        <f>IF(V90=TRUE,T$96,IF(X90=TRUE,T$97,T$98))</f>
        <v>Insufficient Income</v>
      </c>
      <c r="AC90" s="3"/>
      <c r="AD90" s="3"/>
      <c r="AE90" s="48" t="e">
        <f t="shared" si="16"/>
        <v>#DIV/0!</v>
      </c>
      <c r="AF90" s="48">
        <v>2000000</v>
      </c>
      <c r="AG90" s="75" t="e">
        <f>MIN(AE90:AF90)</f>
        <v>#DIV/0!</v>
      </c>
      <c r="AH90" s="3"/>
      <c r="AI90" s="3"/>
      <c r="AJ90" s="3"/>
      <c r="AK90" s="3"/>
      <c r="AL90" s="3"/>
      <c r="AM90" s="3"/>
      <c r="AN90" s="3"/>
    </row>
    <row r="91" spans="1:40" hidden="1" x14ac:dyDescent="0.2">
      <c r="A91" s="72"/>
      <c r="B91" s="72"/>
      <c r="C91" s="72"/>
      <c r="D91" s="72"/>
      <c r="E91" s="72"/>
      <c r="F91" s="72"/>
      <c r="G91" s="72"/>
      <c r="H91" s="72"/>
      <c r="I91" s="72"/>
      <c r="J91" s="72"/>
      <c r="K91" s="72"/>
      <c r="L91" s="72"/>
      <c r="M91" s="72"/>
      <c r="N91" s="72"/>
      <c r="O91" s="72"/>
      <c r="P91" s="72"/>
      <c r="Q91" s="72" t="s">
        <v>105</v>
      </c>
      <c r="T91" s="72" t="s">
        <v>106</v>
      </c>
      <c r="U91" s="72">
        <v>1.25</v>
      </c>
      <c r="V91" s="170" t="b">
        <f>AND(Q$7=T91,Q$29&gt;=U91)</f>
        <v>0</v>
      </c>
      <c r="X91" s="161" t="b">
        <f>AND(Q$29&gt;U91*0.9)</f>
        <v>0</v>
      </c>
      <c r="AB91" s="162" t="str">
        <f>IF(V91=TRUE,T$96,IF(X91=TRUE,T$97,T$98))</f>
        <v>Insufficient Income</v>
      </c>
      <c r="AE91" s="48" t="e">
        <f t="shared" si="16"/>
        <v>#DIV/0!</v>
      </c>
      <c r="AF91" s="48">
        <v>5000000</v>
      </c>
      <c r="AG91" s="75" t="e">
        <f t="shared" ref="AG91:AG92" si="17">MIN(AE91:AF91)</f>
        <v>#DIV/0!</v>
      </c>
      <c r="AH91" s="3"/>
      <c r="AI91" s="3"/>
      <c r="AJ91" s="3"/>
      <c r="AK91" s="3"/>
      <c r="AL91" s="3"/>
      <c r="AM91" s="3"/>
      <c r="AN91" s="3"/>
    </row>
    <row r="92" spans="1:40" hidden="1" x14ac:dyDescent="0.2">
      <c r="A92" s="72"/>
      <c r="B92" s="72"/>
      <c r="C92" s="72"/>
      <c r="D92" s="72"/>
      <c r="E92" s="72"/>
      <c r="F92" s="72"/>
      <c r="G92" s="72"/>
      <c r="H92" s="72"/>
      <c r="I92" s="72"/>
      <c r="J92" s="72"/>
      <c r="K92" s="72"/>
      <c r="L92" s="72"/>
      <c r="M92" s="72"/>
      <c r="N92" s="72"/>
      <c r="O92" s="72"/>
      <c r="P92" s="72"/>
      <c r="Q92" s="72" t="s">
        <v>105</v>
      </c>
      <c r="T92" s="72" t="s">
        <v>107</v>
      </c>
      <c r="U92" s="72">
        <v>1.25</v>
      </c>
      <c r="V92" s="170" t="b">
        <f>AND(Q$7=T92,Q$29&gt;=U92)</f>
        <v>0</v>
      </c>
      <c r="X92" s="161" t="b">
        <f>AND(Q$29&gt;U92*0.9)</f>
        <v>0</v>
      </c>
      <c r="AB92" s="162" t="str">
        <f>IF(V92=TRUE,T$96,IF(X92=TRUE,T$97,T$97))</f>
        <v>Discuss With Thrive</v>
      </c>
      <c r="AE92" s="48" t="e">
        <f t="shared" si="16"/>
        <v>#DIV/0!</v>
      </c>
      <c r="AF92" s="48">
        <v>5000000</v>
      </c>
      <c r="AG92" s="75" t="e">
        <f t="shared" si="17"/>
        <v>#DIV/0!</v>
      </c>
      <c r="AH92" s="3"/>
      <c r="AI92" s="3"/>
      <c r="AJ92" s="3"/>
      <c r="AK92" s="3"/>
      <c r="AL92" s="3"/>
      <c r="AM92" s="3"/>
      <c r="AN92" s="3"/>
    </row>
    <row r="93" spans="1:40" hidden="1" x14ac:dyDescent="0.2">
      <c r="A93" s="72"/>
      <c r="B93" s="72"/>
      <c r="C93" s="72"/>
      <c r="D93" s="72"/>
      <c r="E93" s="72"/>
      <c r="F93" s="72"/>
      <c r="G93" s="72"/>
      <c r="H93" s="72"/>
      <c r="I93" s="72"/>
      <c r="J93" s="72"/>
      <c r="K93" s="72"/>
      <c r="L93" s="72"/>
      <c r="M93" s="72"/>
      <c r="N93" s="72"/>
      <c r="O93" s="72"/>
      <c r="P93" s="72"/>
      <c r="Q93" s="72"/>
      <c r="AC93" s="3"/>
      <c r="AD93" s="3"/>
      <c r="AE93" s="3"/>
      <c r="AF93" s="3"/>
      <c r="AG93" s="3"/>
      <c r="AH93" s="3"/>
      <c r="AI93" s="3"/>
      <c r="AJ93" s="3"/>
      <c r="AK93" s="3"/>
      <c r="AL93" s="3"/>
      <c r="AM93" s="3"/>
      <c r="AN93" s="3"/>
    </row>
    <row r="94" spans="1:40" hidden="1" x14ac:dyDescent="0.2">
      <c r="A94" s="72"/>
      <c r="B94" s="72"/>
      <c r="C94" s="72"/>
      <c r="D94" s="72"/>
      <c r="E94" s="72"/>
      <c r="F94" s="72"/>
      <c r="G94" s="72"/>
      <c r="H94" s="72"/>
      <c r="I94" s="72"/>
      <c r="J94" s="72"/>
      <c r="K94" s="72"/>
      <c r="L94" s="72"/>
      <c r="M94" s="72"/>
      <c r="N94" s="72"/>
      <c r="O94" s="72"/>
      <c r="P94" s="72"/>
      <c r="Q94" s="72"/>
      <c r="AC94" s="3"/>
      <c r="AD94" s="3"/>
      <c r="AE94" s="3"/>
      <c r="AF94" s="3"/>
      <c r="AG94" s="48"/>
      <c r="AH94" s="3"/>
      <c r="AI94" s="3"/>
      <c r="AJ94" s="3"/>
      <c r="AK94" s="3"/>
      <c r="AL94" s="3"/>
      <c r="AM94" s="3"/>
      <c r="AN94" s="3"/>
    </row>
    <row r="95" spans="1:40" hidden="1" x14ac:dyDescent="0.2">
      <c r="A95" s="72"/>
      <c r="B95" s="72"/>
      <c r="C95" s="72"/>
      <c r="D95" s="72"/>
      <c r="E95" s="72"/>
      <c r="F95" s="72"/>
      <c r="G95" s="72"/>
      <c r="H95" s="72"/>
      <c r="I95" s="72"/>
      <c r="J95" s="72"/>
      <c r="K95" s="72"/>
      <c r="L95" s="72"/>
      <c r="M95" s="72"/>
      <c r="N95" s="72"/>
      <c r="O95" s="72"/>
      <c r="P95" s="72"/>
      <c r="Q95" s="72"/>
      <c r="AC95" s="3"/>
      <c r="AD95" s="3"/>
      <c r="AE95" s="49"/>
      <c r="AF95" s="3"/>
      <c r="AG95" s="3"/>
      <c r="AH95" s="3"/>
      <c r="AI95" s="3"/>
      <c r="AJ95" s="3"/>
      <c r="AK95" s="3"/>
      <c r="AL95" s="3"/>
      <c r="AM95" s="3"/>
      <c r="AN95" s="3"/>
    </row>
    <row r="96" spans="1:40" hidden="1" x14ac:dyDescent="0.2">
      <c r="A96" s="72"/>
      <c r="B96" s="72"/>
      <c r="C96" s="72"/>
      <c r="D96" s="72"/>
      <c r="E96" s="72"/>
      <c r="F96" s="72"/>
      <c r="G96" s="72"/>
      <c r="H96" s="72"/>
      <c r="I96" s="72"/>
      <c r="J96" s="72"/>
      <c r="K96" s="72"/>
      <c r="L96" s="72"/>
      <c r="M96" s="72"/>
      <c r="N96" s="72"/>
      <c r="O96" s="72"/>
      <c r="P96" s="72"/>
      <c r="Q96" s="72"/>
      <c r="R96" s="72">
        <v>91</v>
      </c>
      <c r="S96" s="72"/>
      <c r="T96" s="72" t="s">
        <v>108</v>
      </c>
      <c r="U96" s="72"/>
      <c r="V96" s="72"/>
      <c r="W96" s="72"/>
      <c r="X96" s="72"/>
      <c r="Y96" s="72"/>
      <c r="AB96" s="3" t="b">
        <f>AND(Q8&gt;AF87,Q29&gt;U88*0.95,Q31&gt;1)</f>
        <v>0</v>
      </c>
      <c r="AC96" s="3"/>
      <c r="AD96" s="3"/>
      <c r="AE96" s="3"/>
      <c r="AF96" s="3"/>
      <c r="AG96" s="3"/>
      <c r="AH96" s="3"/>
      <c r="AI96" s="3"/>
      <c r="AJ96" s="3"/>
      <c r="AK96" s="3"/>
      <c r="AL96" s="3"/>
      <c r="AM96" s="3"/>
      <c r="AN96" s="3"/>
    </row>
    <row r="97" spans="1:40" hidden="1" x14ac:dyDescent="0.2">
      <c r="A97" s="72"/>
      <c r="B97" s="72"/>
      <c r="C97" s="72"/>
      <c r="D97" s="72"/>
      <c r="E97" s="72"/>
      <c r="F97" s="72"/>
      <c r="G97" s="72"/>
      <c r="H97" s="72"/>
      <c r="I97" s="72"/>
      <c r="J97" s="72"/>
      <c r="K97" s="72"/>
      <c r="L97" s="72"/>
      <c r="M97" s="72"/>
      <c r="N97" s="72"/>
      <c r="O97" s="72"/>
      <c r="P97" s="72"/>
      <c r="Q97" s="72"/>
      <c r="R97" s="72">
        <v>92</v>
      </c>
      <c r="S97" s="72"/>
      <c r="T97" s="72" t="str">
        <f>"Discuss With "&amp;IF(F1="ThinkTank","TT",F1)</f>
        <v>Discuss With Thrive</v>
      </c>
      <c r="U97" s="72"/>
      <c r="V97" s="72"/>
      <c r="W97" s="72"/>
      <c r="X97" s="72"/>
      <c r="Y97" s="72"/>
      <c r="AB97" s="3"/>
      <c r="AC97" s="3"/>
      <c r="AD97" s="3"/>
      <c r="AE97" s="3"/>
      <c r="AF97" s="3"/>
      <c r="AG97" s="3"/>
      <c r="AH97" s="3"/>
      <c r="AI97" s="3"/>
      <c r="AJ97" s="3"/>
      <c r="AK97" s="3"/>
      <c r="AL97" s="3"/>
      <c r="AM97" s="3"/>
      <c r="AN97" s="3"/>
    </row>
    <row r="98" spans="1:40" hidden="1" x14ac:dyDescent="0.2">
      <c r="A98" s="72"/>
      <c r="B98" s="72"/>
      <c r="C98" s="72"/>
      <c r="D98" s="72"/>
      <c r="E98" s="72"/>
      <c r="F98" s="72"/>
      <c r="G98" s="72"/>
      <c r="H98" s="72"/>
      <c r="I98" s="72"/>
      <c r="J98" s="72"/>
      <c r="K98" s="72"/>
      <c r="L98" s="72"/>
      <c r="M98" s="72"/>
      <c r="N98" s="72"/>
      <c r="O98" s="72"/>
      <c r="P98" s="72"/>
      <c r="Q98" s="72"/>
      <c r="R98" s="72">
        <v>93</v>
      </c>
      <c r="S98" s="72"/>
      <c r="T98" s="72" t="s">
        <v>109</v>
      </c>
      <c r="U98" s="72"/>
      <c r="V98" s="72"/>
      <c r="W98" s="72"/>
      <c r="X98" s="72"/>
      <c r="Y98" s="72"/>
      <c r="AB98" s="3"/>
      <c r="AC98" s="3"/>
      <c r="AD98" s="3"/>
      <c r="AE98" s="3"/>
      <c r="AF98" s="3"/>
      <c r="AG98" s="3"/>
    </row>
    <row r="99" spans="1:40" hidden="1" x14ac:dyDescent="0.2">
      <c r="A99" s="72"/>
      <c r="B99" s="72"/>
      <c r="C99" s="72"/>
      <c r="D99" s="72"/>
      <c r="E99" s="72"/>
      <c r="F99" s="72"/>
      <c r="G99" s="72"/>
      <c r="H99" s="72"/>
      <c r="I99" s="72"/>
      <c r="J99" s="72"/>
      <c r="K99" s="72"/>
      <c r="L99" s="72"/>
      <c r="M99" s="72"/>
      <c r="N99" s="72"/>
      <c r="O99" s="72"/>
      <c r="P99" s="72"/>
      <c r="Q99" s="72"/>
      <c r="R99" s="72"/>
      <c r="S99" s="72"/>
      <c r="T99" s="72"/>
      <c r="U99" s="72"/>
      <c r="V99" s="72"/>
      <c r="W99" s="72"/>
      <c r="X99" s="72"/>
      <c r="Y99" s="72"/>
    </row>
    <row r="100" spans="1:40" hidden="1" x14ac:dyDescent="0.2">
      <c r="A100" s="72"/>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row>
    <row r="101" spans="1:40" hidden="1" x14ac:dyDescent="0.2"/>
    <row r="102" spans="1:40" hidden="1" x14ac:dyDescent="0.2"/>
    <row r="103" spans="1:40" hidden="1" x14ac:dyDescent="0.2"/>
    <row r="104" spans="1:40" hidden="1" x14ac:dyDescent="0.2"/>
    <row r="105" spans="1:40" hidden="1" x14ac:dyDescent="0.2"/>
    <row r="106" spans="1:40" hidden="1" x14ac:dyDescent="0.2"/>
    <row r="107" spans="1:40" hidden="1" x14ac:dyDescent="0.2"/>
    <row r="108" spans="1:40" hidden="1" x14ac:dyDescent="0.2"/>
    <row r="109" spans="1:40" hidden="1" x14ac:dyDescent="0.2"/>
    <row r="110" spans="1:40" hidden="1" x14ac:dyDescent="0.2"/>
    <row r="111" spans="1:40" hidden="1" x14ac:dyDescent="0.2"/>
    <row r="112" spans="1:40"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cxvDIN/9tX1eIrzbilgmPACyBJd8pDI64Uq8hH3C5VOXVARvtpJDTEkgENE5iEc1ye2RO+m0fl27X8NPed0zog==" saltValue="mbO556GGYJT9Ni53VdbxNQ==" spinCount="100000" sheet="1" objects="1" scenarios="1"/>
  <mergeCells count="55">
    <mergeCell ref="Q33:R33"/>
    <mergeCell ref="M34:Y34"/>
    <mergeCell ref="Q37:S37"/>
    <mergeCell ref="D26:G26"/>
    <mergeCell ref="I26:J26"/>
    <mergeCell ref="I27:J27"/>
    <mergeCell ref="I28:J28"/>
    <mergeCell ref="Q29:R29"/>
    <mergeCell ref="Q31:R31"/>
    <mergeCell ref="I22:J22"/>
    <mergeCell ref="Q22:R22"/>
    <mergeCell ref="I23:J23"/>
    <mergeCell ref="I24:J24"/>
    <mergeCell ref="Q24:R24"/>
    <mergeCell ref="I25:J25"/>
    <mergeCell ref="Q25:R25"/>
    <mergeCell ref="I20:J20"/>
    <mergeCell ref="N20:O20"/>
    <mergeCell ref="Q20:R20"/>
    <mergeCell ref="I21:J21"/>
    <mergeCell ref="N21:O21"/>
    <mergeCell ref="Q21:R21"/>
    <mergeCell ref="I17:J17"/>
    <mergeCell ref="N17:O17"/>
    <mergeCell ref="Q17:R17"/>
    <mergeCell ref="N18:O18"/>
    <mergeCell ref="Q18:R18"/>
    <mergeCell ref="N19:O19"/>
    <mergeCell ref="Q19:R19"/>
    <mergeCell ref="D15:G15"/>
    <mergeCell ref="I15:J15"/>
    <mergeCell ref="N15:O15"/>
    <mergeCell ref="Q15:R15"/>
    <mergeCell ref="I16:J16"/>
    <mergeCell ref="N16:O16"/>
    <mergeCell ref="Q16:R16"/>
    <mergeCell ref="I13:J13"/>
    <mergeCell ref="N13:O13"/>
    <mergeCell ref="Q13:R13"/>
    <mergeCell ref="D14:G14"/>
    <mergeCell ref="I14:J14"/>
    <mergeCell ref="N14:O14"/>
    <mergeCell ref="Q14:R14"/>
    <mergeCell ref="I11:J11"/>
    <mergeCell ref="N11:O11"/>
    <mergeCell ref="Q11:R11"/>
    <mergeCell ref="I12:J12"/>
    <mergeCell ref="N12:O12"/>
    <mergeCell ref="Q12:R12"/>
    <mergeCell ref="I7:J7"/>
    <mergeCell ref="Q7:R7"/>
    <mergeCell ref="Q8:R8"/>
    <mergeCell ref="I9:J9"/>
    <mergeCell ref="I10:J10"/>
    <mergeCell ref="Q10:R10"/>
  </mergeCells>
  <conditionalFormatting sqref="I36:I37">
    <cfRule type="cellIs" dxfId="311" priority="31" stopIfTrue="1" operator="equal">
      <formula>0</formula>
    </cfRule>
  </conditionalFormatting>
  <conditionalFormatting sqref="I31">
    <cfRule type="cellIs" dxfId="310" priority="30" stopIfTrue="1" operator="equal">
      <formula>0</formula>
    </cfRule>
  </conditionalFormatting>
  <conditionalFormatting sqref="I29:I30">
    <cfRule type="cellIs" dxfId="309" priority="29" stopIfTrue="1" operator="equal">
      <formula>0</formula>
    </cfRule>
  </conditionalFormatting>
  <conditionalFormatting sqref="P37">
    <cfRule type="cellIs" dxfId="308" priority="28" operator="equal">
      <formula>0</formula>
    </cfRule>
  </conditionalFormatting>
  <conditionalFormatting sqref="Q31">
    <cfRule type="cellIs" dxfId="307" priority="5" operator="greaterThan">
      <formula>1</formula>
    </cfRule>
    <cfRule type="cellIs" dxfId="306" priority="22" operator="equal">
      <formula>0</formula>
    </cfRule>
    <cfRule type="cellIs" dxfId="305" priority="24" operator="lessThan">
      <formula>0.9</formula>
    </cfRule>
    <cfRule type="cellIs" dxfId="304" priority="27" operator="between">
      <formula>0.9</formula>
      <formula>1</formula>
    </cfRule>
  </conditionalFormatting>
  <conditionalFormatting sqref="Q29">
    <cfRule type="expression" dxfId="303" priority="6">
      <formula>$Q$29&gt;=VLOOKUP($Q$7,$T$86:$U$92,2,FALSE)</formula>
    </cfRule>
    <cfRule type="cellIs" dxfId="302" priority="23" operator="equal">
      <formula>0</formula>
    </cfRule>
    <cfRule type="expression" dxfId="301" priority="25">
      <formula>AND($Q$7&lt;&gt;"Quick Doc Business Loan/Resi Stock",$Q$29&lt;VLOOKUP($Q$7,$T$86:$U$92,2,FALSE)*90%)</formula>
    </cfRule>
    <cfRule type="expression" dxfId="300" priority="26">
      <formula>AND($Q$29&gt;=VLOOKUP($Q$7,$T$86:$U$92,2,FALSE)*0.9,$Q$29&lt;VLOOKUP($Q$7,$T$86:$U$92,2,FALSE))</formula>
    </cfRule>
  </conditionalFormatting>
  <conditionalFormatting sqref="A1:O1">
    <cfRule type="expression" dxfId="299" priority="19">
      <formula>OR(ComBranding="PLANEdge")</formula>
    </cfRule>
    <cfRule type="expression" dxfId="298" priority="21">
      <formula>OR(ComBranding="ChoiceExcel")</formula>
    </cfRule>
  </conditionalFormatting>
  <conditionalFormatting sqref="A1:O1">
    <cfRule type="expression" dxfId="297" priority="20">
      <formula>OR(ComBranding="FASTExcel", ComBranding="ChoiceEdge")</formula>
    </cfRule>
  </conditionalFormatting>
  <conditionalFormatting sqref="A2:Y4">
    <cfRule type="expression" dxfId="289" priority="1">
      <formula>ComBranding = "YBR"</formula>
    </cfRule>
    <cfRule type="expression" dxfId="290" priority="2">
      <formula>ComBranding = "Paramount"</formula>
    </cfRule>
    <cfRule type="expression" dxfId="296" priority="4">
      <formula>OR( ComBranding = "Thrive")</formula>
    </cfRule>
    <cfRule type="expression" dxfId="295" priority="7">
      <formula>OR( ComBranding = "Go Beyond")</formula>
    </cfRule>
    <cfRule type="expression" dxfId="294" priority="8">
      <formula>OR( ComBranding = "AFG")</formula>
    </cfRule>
    <cfRule type="expression" dxfId="293" priority="9">
      <formula>OR(ComBranding = "AFG Align")</formula>
    </cfRule>
    <cfRule type="expression" dxfId="292" priority="17">
      <formula>OR( ComBranding = "Con")</formula>
    </cfRule>
    <cfRule type="expression" dxfId="291" priority="18">
      <formula>ComBranding = "RM"</formula>
    </cfRule>
  </conditionalFormatting>
  <conditionalFormatting sqref="I16:J17">
    <cfRule type="expression" dxfId="288" priority="16">
      <formula>OR(ComBranding="ChoiceExcel", ComBranding="ChoiceEdge", ComBranding="ChoiceEdge", ComBranding="FastEdge", ComBranding="FastExcel", ComBranding="FASTExcel",ComBranding="PLANExcel",ComBranding="PLANEdge")</formula>
    </cfRule>
  </conditionalFormatting>
  <conditionalFormatting sqref="Q24:R25">
    <cfRule type="expression" dxfId="287" priority="15">
      <formula>OR(ComBranding="ChoiceExcel", ComBranding="ChoiceEdge", ComBranding="ChoiceEdge", ComBranding="FastEdge", ComBranding="FastExcel", ComBranding="FASTExcel",ComBranding="PLANExcel",ComBranding="PLANEdge")</formula>
    </cfRule>
  </conditionalFormatting>
  <conditionalFormatting sqref="I27:J28">
    <cfRule type="expression" dxfId="286" priority="14">
      <formula>OR(ComBranding="ChoiceExcel", ComBranding="ChoiceEdge", ComBranding="ChoiceEdge", ComBranding="FastEdge", ComBranding="FastExcel", ComBranding="FASTExcel",ComBranding="PLANExcel",ComBranding="PLANEdge")</formula>
    </cfRule>
  </conditionalFormatting>
  <conditionalFormatting sqref="Q37:S37">
    <cfRule type="cellIs" dxfId="285" priority="13" operator="equal">
      <formula>0</formula>
    </cfRule>
  </conditionalFormatting>
  <conditionalFormatting sqref="Q7:R7">
    <cfRule type="cellIs" dxfId="284" priority="12" stopIfTrue="1" operator="equal">
      <formula>$T$89</formula>
    </cfRule>
  </conditionalFormatting>
  <conditionalFormatting sqref="X8">
    <cfRule type="expression" dxfId="283" priority="10">
      <formula>OR($Q$7="Quick Doc Business Loan/Resi Stock",$Q$7="Mid Doc Business Loan/Resi Stock",$V$8=0)</formula>
    </cfRule>
    <cfRule type="cellIs" dxfId="282" priority="11" operator="greaterThanOrEqual">
      <formula>$V$8</formula>
    </cfRule>
  </conditionalFormatting>
  <conditionalFormatting sqref="Q33">
    <cfRule type="cellIs" dxfId="281" priority="32" operator="equal">
      <formula>$T$96</formula>
    </cfRule>
    <cfRule type="cellIs" dxfId="280" priority="33" operator="equal">
      <formula>$T$97</formula>
    </cfRule>
    <cfRule type="cellIs" dxfId="279" priority="34" operator="equal">
      <formula>$T$98</formula>
    </cfRule>
  </conditionalFormatting>
  <conditionalFormatting sqref="Q29:R29">
    <cfRule type="expression" dxfId="278" priority="3">
      <formula>AND($Q$7="Quick Doc Business Loan/Resi Stock",$Q$29&lt;1.25)</formula>
    </cfRule>
  </conditionalFormatting>
  <dataValidations count="2">
    <dataValidation type="list" allowBlank="1" showInputMessage="1" showErrorMessage="1" error="Select from list only" promptTitle="Select from list" sqref="Q7:R7" xr:uid="{BB7CB281-FCEB-4F2F-BB44-85D84729202B}">
      <formula1>$T$86:$T$92</formula1>
    </dataValidation>
    <dataValidation type="list" allowBlank="1" showInputMessage="1" showErrorMessage="1" sqref="N11:O21" xr:uid="{81542DD1-3E80-495E-B45A-A5027857DAB5}">
      <formula1>$AL$5:$AL$13</formula1>
    </dataValidation>
  </dataValidations>
  <printOptions horizontalCentered="1"/>
  <pageMargins left="0.36" right="0.31496062992125984" top="0.7" bottom="0.51181102362204722" header="0.32" footer="0.27559055118110237"/>
  <pageSetup paperSize="9" scale="58" orientation="portrait" r:id="rId1"/>
  <headerFooter alignWithMargins="0">
    <oddFooter>&amp;L&amp;"Arial Narrow,Regular"&amp;8Calculator Printed: &amp;D @ &amp;T&amp;R&amp;"Arial Narrow,Bold"&amp;8Copyright Think Tank Group Pty Ltd</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207E0-BCAA-4110-88F6-B254D3519484}">
  <sheetPr codeName="Sheet14">
    <tabColor theme="1"/>
    <pageSetUpPr autoPageBreaks="0"/>
  </sheetPr>
  <dimension ref="B1:AU150"/>
  <sheetViews>
    <sheetView showGridLines="0" showRowColHeaders="0" workbookViewId="0">
      <selection activeCell="A5" sqref="A5"/>
    </sheetView>
  </sheetViews>
  <sheetFormatPr defaultColWidth="8" defaultRowHeight="12.75" x14ac:dyDescent="0.2"/>
  <cols>
    <col min="1" max="1" width="1.140625" style="171" customWidth="1"/>
    <col min="2" max="2" width="3" style="171" customWidth="1"/>
    <col min="3" max="3" width="25.85546875" style="171" customWidth="1"/>
    <col min="4" max="5" width="11.7109375" style="171" customWidth="1"/>
    <col min="6" max="6" width="12.42578125" style="171" customWidth="1"/>
    <col min="7" max="7" width="11.28515625" style="171" bestFit="1" customWidth="1"/>
    <col min="8" max="8" width="2.85546875" style="171" customWidth="1"/>
    <col min="9" max="9" width="2.42578125" style="171" customWidth="1"/>
    <col min="10" max="10" width="3.7109375" style="171" customWidth="1"/>
    <col min="11" max="11" width="14.7109375" style="171" customWidth="1"/>
    <col min="12" max="12" width="11.85546875" style="171" customWidth="1"/>
    <col min="13" max="14" width="12.7109375" style="171" customWidth="1"/>
    <col min="15" max="16" width="12.42578125" style="171" bestFit="1" customWidth="1"/>
    <col min="17" max="18" width="12.7109375" style="171" customWidth="1"/>
    <col min="19" max="19" width="11.42578125" style="171" customWidth="1"/>
    <col min="20" max="20" width="3.140625" style="171" customWidth="1"/>
    <col min="21" max="21" width="2.42578125" style="171" customWidth="1"/>
    <col min="22" max="22" width="1.85546875" style="171" customWidth="1"/>
    <col min="23" max="24" width="7.85546875" style="171" customWidth="1"/>
    <col min="25" max="25" width="7.85546875" style="171" hidden="1" customWidth="1"/>
    <col min="26" max="26" width="27.140625" style="171" hidden="1" customWidth="1"/>
    <col min="27" max="27" width="16.28515625" style="171" hidden="1" customWidth="1"/>
    <col min="28" max="28" width="13.28515625" style="171" hidden="1" customWidth="1"/>
    <col min="29" max="31" width="11.42578125" style="171" hidden="1" customWidth="1"/>
    <col min="32" max="32" width="10.7109375" style="171" hidden="1" customWidth="1"/>
    <col min="33" max="33" width="10.140625" style="171" hidden="1" customWidth="1"/>
    <col min="34" max="34" width="10.7109375" style="171" hidden="1" customWidth="1"/>
    <col min="35" max="35" width="12.28515625" style="171" hidden="1" customWidth="1"/>
    <col min="36" max="36" width="15.85546875" style="171" hidden="1" customWidth="1"/>
    <col min="37" max="37" width="15.28515625" style="171" hidden="1" customWidth="1"/>
    <col min="38" max="38" width="11.42578125" style="171" hidden="1" customWidth="1"/>
    <col min="39" max="52" width="0" style="171" hidden="1" customWidth="1"/>
    <col min="53" max="16384" width="8" style="171"/>
  </cols>
  <sheetData>
    <row r="1" spans="2:28" ht="90.75" customHeight="1" x14ac:dyDescent="0.2">
      <c r="D1" s="172" t="s">
        <v>0</v>
      </c>
      <c r="E1" s="173" t="s">
        <v>110</v>
      </c>
      <c r="G1" s="173"/>
    </row>
    <row r="2" spans="2:28" ht="20.25" x14ac:dyDescent="0.2">
      <c r="B2" s="174"/>
      <c r="C2" s="175" t="s">
        <v>69</v>
      </c>
      <c r="D2" s="176">
        <f ca="1">TODAY()</f>
        <v>45975</v>
      </c>
      <c r="E2" s="176"/>
      <c r="F2" s="177"/>
      <c r="G2" s="177"/>
      <c r="H2" s="178"/>
      <c r="I2" s="179"/>
      <c r="J2" s="180"/>
      <c r="K2" s="181" t="s">
        <v>111</v>
      </c>
      <c r="L2" s="181"/>
      <c r="M2" s="181"/>
      <c r="N2" s="181"/>
      <c r="O2" s="181"/>
      <c r="P2" s="181"/>
      <c r="Q2" s="181"/>
      <c r="R2" s="181"/>
      <c r="S2" s="181"/>
      <c r="T2" s="181"/>
      <c r="V2" s="172"/>
      <c r="W2" s="172"/>
      <c r="X2" s="172"/>
      <c r="Y2" s="172"/>
      <c r="AA2" s="1" t="s">
        <v>112</v>
      </c>
      <c r="AB2" s="13" t="s">
        <v>0</v>
      </c>
    </row>
    <row r="3" spans="2:28" ht="5.0999999999999996" customHeight="1" x14ac:dyDescent="0.2">
      <c r="B3" s="182"/>
      <c r="H3" s="183"/>
      <c r="I3" s="179"/>
      <c r="J3" s="184"/>
      <c r="K3" s="185"/>
      <c r="L3" s="185"/>
      <c r="M3" s="185"/>
      <c r="N3" s="185"/>
      <c r="O3" s="185"/>
      <c r="P3" s="185"/>
      <c r="Q3" s="185"/>
      <c r="R3" s="185"/>
      <c r="S3" s="185"/>
      <c r="T3" s="186"/>
    </row>
    <row r="4" spans="2:28" ht="18" customHeight="1" x14ac:dyDescent="0.2">
      <c r="B4" s="182"/>
      <c r="C4" s="187" t="s">
        <v>113</v>
      </c>
      <c r="D4" s="188"/>
      <c r="E4" s="188"/>
      <c r="F4" s="188"/>
      <c r="H4" s="183"/>
      <c r="I4" s="179"/>
      <c r="J4" s="184"/>
      <c r="K4" s="189"/>
      <c r="L4" s="189"/>
      <c r="M4" s="189"/>
      <c r="N4" s="189"/>
      <c r="O4" s="189"/>
      <c r="P4" s="189"/>
      <c r="Q4" s="189"/>
      <c r="R4" s="189"/>
      <c r="S4" s="189"/>
      <c r="T4" s="186"/>
      <c r="AA4" s="1" t="s">
        <v>7</v>
      </c>
      <c r="AB4" s="18" t="e">
        <f>'Commercial ICR-DSCR Calculator'!AC3</f>
        <v>#REF!</v>
      </c>
    </row>
    <row r="5" spans="2:28" ht="5.0999999999999996" customHeight="1" x14ac:dyDescent="0.2">
      <c r="B5" s="182"/>
      <c r="H5" s="183"/>
      <c r="I5" s="179"/>
      <c r="J5" s="184"/>
      <c r="K5" s="185"/>
      <c r="L5" s="185"/>
      <c r="M5" s="185"/>
      <c r="N5" s="185"/>
      <c r="O5" s="185"/>
      <c r="P5" s="185"/>
      <c r="Q5" s="185"/>
      <c r="R5" s="185"/>
      <c r="S5" s="185"/>
      <c r="T5" s="186"/>
    </row>
    <row r="6" spans="2:28" ht="18" customHeight="1" x14ac:dyDescent="0.2">
      <c r="B6" s="182"/>
      <c r="C6" s="190" t="s">
        <v>114</v>
      </c>
      <c r="D6" s="188"/>
      <c r="E6" s="188"/>
      <c r="F6" s="188"/>
      <c r="H6" s="183"/>
      <c r="I6" s="179"/>
      <c r="J6" s="184"/>
      <c r="K6" s="189"/>
      <c r="L6" s="189"/>
      <c r="M6" s="189"/>
      <c r="N6" s="189"/>
      <c r="O6" s="189"/>
      <c r="P6" s="189"/>
      <c r="Q6" s="189"/>
      <c r="R6" s="189"/>
      <c r="S6" s="189"/>
      <c r="T6" s="186"/>
    </row>
    <row r="7" spans="2:28" ht="5.0999999999999996" customHeight="1" x14ac:dyDescent="0.2">
      <c r="B7" s="182"/>
      <c r="H7" s="183"/>
      <c r="I7" s="179"/>
      <c r="J7" s="184"/>
      <c r="K7" s="185"/>
      <c r="L7" s="185"/>
      <c r="M7" s="185"/>
      <c r="N7" s="185"/>
      <c r="O7" s="185"/>
      <c r="P7" s="185"/>
      <c r="Q7" s="185"/>
      <c r="R7" s="185"/>
      <c r="S7" s="185"/>
      <c r="T7" s="186"/>
    </row>
    <row r="8" spans="2:28" ht="18" customHeight="1" x14ac:dyDescent="0.2">
      <c r="B8" s="182"/>
      <c r="C8" s="190" t="s">
        <v>115</v>
      </c>
      <c r="D8" s="188"/>
      <c r="E8" s="188"/>
      <c r="F8" s="188"/>
      <c r="H8" s="183"/>
      <c r="I8" s="179"/>
      <c r="J8" s="184"/>
      <c r="K8" s="189"/>
      <c r="L8" s="189"/>
      <c r="M8" s="189"/>
      <c r="N8" s="189"/>
      <c r="O8" s="189"/>
      <c r="P8" s="189"/>
      <c r="Q8" s="189"/>
      <c r="R8" s="189"/>
      <c r="S8" s="189"/>
      <c r="T8" s="186"/>
    </row>
    <row r="9" spans="2:28" ht="5.0999999999999996" customHeight="1" x14ac:dyDescent="0.2">
      <c r="B9" s="182"/>
      <c r="H9" s="183"/>
      <c r="I9" s="179"/>
      <c r="J9" s="184"/>
      <c r="K9" s="185"/>
      <c r="L9" s="185"/>
      <c r="M9" s="185"/>
      <c r="N9" s="185"/>
      <c r="O9" s="185"/>
      <c r="P9" s="185"/>
      <c r="Q9" s="185"/>
      <c r="R9" s="185"/>
      <c r="S9" s="185"/>
      <c r="T9" s="186"/>
    </row>
    <row r="10" spans="2:28" ht="18" customHeight="1" x14ac:dyDescent="0.2">
      <c r="B10" s="182"/>
      <c r="C10" s="190" t="s">
        <v>116</v>
      </c>
      <c r="D10" s="188"/>
      <c r="E10" s="188"/>
      <c r="F10" s="188"/>
      <c r="H10" s="183"/>
      <c r="I10" s="179"/>
      <c r="J10" s="184"/>
      <c r="K10" s="189"/>
      <c r="L10" s="189"/>
      <c r="M10" s="189"/>
      <c r="N10" s="189"/>
      <c r="O10" s="189"/>
      <c r="P10" s="189"/>
      <c r="Q10" s="189"/>
      <c r="R10" s="189"/>
      <c r="S10" s="189"/>
      <c r="T10" s="186"/>
    </row>
    <row r="11" spans="2:28" ht="5.0999999999999996" customHeight="1" x14ac:dyDescent="0.2">
      <c r="B11" s="182"/>
      <c r="H11" s="183"/>
      <c r="I11" s="179"/>
      <c r="J11" s="184"/>
      <c r="K11" s="185"/>
      <c r="L11" s="185"/>
      <c r="M11" s="185"/>
      <c r="N11" s="185"/>
      <c r="O11" s="185"/>
      <c r="P11" s="185"/>
      <c r="Q11" s="185"/>
      <c r="R11" s="185"/>
      <c r="S11" s="185"/>
      <c r="T11" s="186"/>
    </row>
    <row r="12" spans="2:28" ht="18" customHeight="1" x14ac:dyDescent="0.2">
      <c r="B12" s="182"/>
      <c r="C12" s="190" t="s">
        <v>117</v>
      </c>
      <c r="D12" s="188"/>
      <c r="E12" s="188"/>
      <c r="F12" s="188"/>
      <c r="H12" s="183"/>
      <c r="I12" s="179"/>
      <c r="J12" s="184"/>
      <c r="K12" s="189"/>
      <c r="L12" s="189"/>
      <c r="M12" s="189"/>
      <c r="N12" s="189"/>
      <c r="O12" s="189"/>
      <c r="P12" s="189"/>
      <c r="Q12" s="189"/>
      <c r="R12" s="189"/>
      <c r="S12" s="189"/>
      <c r="T12" s="186"/>
    </row>
    <row r="13" spans="2:28" ht="5.0999999999999996" customHeight="1" x14ac:dyDescent="0.2">
      <c r="B13" s="182"/>
      <c r="H13" s="183"/>
      <c r="I13" s="179"/>
      <c r="J13" s="184"/>
      <c r="K13" s="185"/>
      <c r="L13" s="185"/>
      <c r="M13" s="185"/>
      <c r="N13" s="185"/>
      <c r="O13" s="185"/>
      <c r="P13" s="185"/>
      <c r="Q13" s="185"/>
      <c r="R13" s="185"/>
      <c r="S13" s="185"/>
      <c r="T13" s="186"/>
    </row>
    <row r="14" spans="2:28" ht="18" customHeight="1" x14ac:dyDescent="0.2">
      <c r="B14" s="182"/>
      <c r="C14" s="190" t="s">
        <v>118</v>
      </c>
      <c r="D14" s="188"/>
      <c r="E14" s="188"/>
      <c r="F14" s="188"/>
      <c r="H14" s="183"/>
      <c r="I14" s="179"/>
      <c r="J14" s="184"/>
      <c r="K14" s="189"/>
      <c r="L14" s="189"/>
      <c r="M14" s="189"/>
      <c r="N14" s="189"/>
      <c r="O14" s="189"/>
      <c r="P14" s="189"/>
      <c r="Q14" s="189"/>
      <c r="R14" s="189"/>
      <c r="S14" s="189"/>
      <c r="T14" s="186"/>
    </row>
    <row r="15" spans="2:28" ht="5.0999999999999996" customHeight="1" x14ac:dyDescent="0.2">
      <c r="B15" s="182"/>
      <c r="H15" s="183"/>
      <c r="I15" s="179"/>
      <c r="J15" s="184"/>
      <c r="K15" s="191"/>
      <c r="L15" s="191"/>
      <c r="M15" s="191"/>
      <c r="N15" s="191"/>
      <c r="O15" s="191"/>
      <c r="P15" s="191"/>
      <c r="Q15" s="191"/>
      <c r="R15" s="191"/>
      <c r="S15" s="191"/>
      <c r="T15" s="186"/>
    </row>
    <row r="16" spans="2:28" ht="18" customHeight="1" x14ac:dyDescent="0.2">
      <c r="B16" s="182"/>
      <c r="C16" s="190" t="s">
        <v>119</v>
      </c>
      <c r="D16" s="188"/>
      <c r="E16" s="188"/>
      <c r="F16" s="188"/>
      <c r="H16" s="183"/>
      <c r="I16" s="179"/>
      <c r="J16" s="184"/>
      <c r="K16" s="189"/>
      <c r="L16" s="189"/>
      <c r="M16" s="189"/>
      <c r="N16" s="189"/>
      <c r="O16" s="189"/>
      <c r="P16" s="189"/>
      <c r="Q16" s="189"/>
      <c r="R16" s="189"/>
      <c r="S16" s="189"/>
      <c r="T16" s="186"/>
    </row>
    <row r="17" spans="2:20" ht="18" customHeight="1" x14ac:dyDescent="0.2">
      <c r="B17" s="182"/>
      <c r="H17" s="183"/>
      <c r="I17" s="179"/>
      <c r="J17" s="192"/>
      <c r="K17" s="193"/>
      <c r="L17" s="193"/>
      <c r="M17" s="193"/>
      <c r="N17" s="193"/>
      <c r="O17" s="193"/>
      <c r="P17" s="193"/>
      <c r="Q17" s="193"/>
      <c r="R17" s="193"/>
      <c r="S17" s="193"/>
      <c r="T17" s="194"/>
    </row>
    <row r="18" spans="2:20" ht="18" customHeight="1" x14ac:dyDescent="0.2">
      <c r="B18" s="180">
        <v>1</v>
      </c>
      <c r="C18" s="181" t="s">
        <v>68</v>
      </c>
      <c r="D18" s="181"/>
      <c r="E18" s="181"/>
      <c r="F18" s="181"/>
      <c r="G18" s="181"/>
      <c r="H18" s="181"/>
      <c r="I18" s="181"/>
      <c r="J18" s="180"/>
      <c r="K18" s="181"/>
      <c r="L18" s="181"/>
      <c r="M18" s="181"/>
      <c r="N18" s="181"/>
      <c r="O18" s="181"/>
      <c r="P18" s="181"/>
      <c r="Q18" s="181"/>
      <c r="R18" s="180"/>
      <c r="S18" s="181"/>
      <c r="T18" s="181"/>
    </row>
    <row r="19" spans="2:20" ht="18" customHeight="1" x14ac:dyDescent="0.2">
      <c r="B19" s="195"/>
      <c r="C19" s="179"/>
      <c r="D19" s="179"/>
      <c r="E19" s="179"/>
      <c r="F19" s="179"/>
      <c r="G19" s="179"/>
      <c r="H19" s="179"/>
      <c r="I19" s="179"/>
      <c r="J19" s="196"/>
      <c r="K19" s="196"/>
      <c r="L19" s="196"/>
      <c r="M19" s="196"/>
      <c r="N19" s="196"/>
      <c r="O19" s="196"/>
      <c r="P19" s="196"/>
      <c r="Q19" s="196"/>
      <c r="T19" s="197"/>
    </row>
    <row r="20" spans="2:20" ht="18" customHeight="1" x14ac:dyDescent="0.2">
      <c r="B20" s="198"/>
      <c r="C20" s="199" t="s">
        <v>120</v>
      </c>
      <c r="D20" s="200">
        <f>E20-1</f>
        <v>2023</v>
      </c>
      <c r="E20" s="200">
        <v>2024</v>
      </c>
      <c r="F20" s="199" t="s">
        <v>121</v>
      </c>
      <c r="G20" s="199"/>
      <c r="H20" s="179"/>
      <c r="I20" s="179"/>
      <c r="J20" s="179"/>
      <c r="K20" s="201" t="s">
        <v>122</v>
      </c>
      <c r="L20" s="199"/>
      <c r="M20" s="200">
        <f>D$20</f>
        <v>2023</v>
      </c>
      <c r="N20" s="200">
        <f>E$20</f>
        <v>2024</v>
      </c>
      <c r="O20" s="202" t="s">
        <v>123</v>
      </c>
      <c r="P20" s="203"/>
      <c r="Q20" s="203" t="s">
        <v>124</v>
      </c>
      <c r="R20" s="203"/>
      <c r="S20" s="204"/>
      <c r="T20" s="197"/>
    </row>
    <row r="21" spans="2:20" ht="18" customHeight="1" x14ac:dyDescent="0.2">
      <c r="B21" s="195"/>
      <c r="C21" s="205" t="s">
        <v>114</v>
      </c>
      <c r="D21" s="206"/>
      <c r="E21" s="206"/>
      <c r="F21" s="207"/>
      <c r="G21" s="208"/>
      <c r="H21" s="179"/>
      <c r="I21" s="179"/>
      <c r="J21" s="179"/>
      <c r="K21" s="209" t="s">
        <v>125</v>
      </c>
      <c r="L21" s="210"/>
      <c r="M21" s="206"/>
      <c r="N21" s="206"/>
      <c r="O21" s="207"/>
      <c r="P21" s="211"/>
      <c r="Q21" s="212"/>
      <c r="R21" s="213"/>
      <c r="S21" s="214"/>
      <c r="T21" s="197"/>
    </row>
    <row r="22" spans="2:20" ht="18" customHeight="1" x14ac:dyDescent="0.2">
      <c r="B22" s="195"/>
      <c r="C22" s="205" t="s">
        <v>115</v>
      </c>
      <c r="D22" s="215"/>
      <c r="E22" s="216"/>
      <c r="F22" s="217"/>
      <c r="G22" s="218"/>
      <c r="H22" s="179"/>
      <c r="I22" s="179"/>
      <c r="J22" s="179"/>
      <c r="K22" s="209" t="s">
        <v>126</v>
      </c>
      <c r="L22" s="210"/>
      <c r="M22" s="215"/>
      <c r="N22" s="216"/>
      <c r="O22" s="217"/>
      <c r="P22" s="219"/>
      <c r="Q22" s="220"/>
      <c r="R22" s="221"/>
      <c r="S22" s="222"/>
      <c r="T22" s="197"/>
    </row>
    <row r="23" spans="2:20" ht="18" customHeight="1" x14ac:dyDescent="0.2">
      <c r="B23" s="195"/>
      <c r="C23" s="205" t="s">
        <v>116</v>
      </c>
      <c r="D23" s="215"/>
      <c r="E23" s="216"/>
      <c r="F23" s="217"/>
      <c r="G23" s="218"/>
      <c r="H23" s="179"/>
      <c r="I23" s="179"/>
      <c r="J23" s="179"/>
      <c r="K23" s="209" t="s">
        <v>127</v>
      </c>
      <c r="L23" s="210"/>
      <c r="M23" s="215"/>
      <c r="N23" s="216"/>
      <c r="O23" s="217"/>
      <c r="P23" s="219"/>
      <c r="Q23" s="220"/>
      <c r="R23" s="221"/>
      <c r="S23" s="222"/>
      <c r="T23" s="197"/>
    </row>
    <row r="24" spans="2:20" ht="18" customHeight="1" x14ac:dyDescent="0.2">
      <c r="B24" s="195"/>
      <c r="C24" s="205" t="s">
        <v>117</v>
      </c>
      <c r="D24" s="215"/>
      <c r="E24" s="216"/>
      <c r="F24" s="217"/>
      <c r="G24" s="218"/>
      <c r="H24" s="179"/>
      <c r="I24" s="179"/>
      <c r="J24" s="179"/>
      <c r="K24" s="209" t="s">
        <v>128</v>
      </c>
      <c r="L24" s="210"/>
      <c r="M24" s="215"/>
      <c r="N24" s="216"/>
      <c r="O24" s="217"/>
      <c r="P24" s="219"/>
      <c r="Q24" s="220"/>
      <c r="R24" s="221"/>
      <c r="S24" s="222"/>
      <c r="T24" s="197"/>
    </row>
    <row r="25" spans="2:20" ht="18" customHeight="1" x14ac:dyDescent="0.2">
      <c r="B25" s="195"/>
      <c r="C25" s="205" t="s">
        <v>118</v>
      </c>
      <c r="D25" s="215"/>
      <c r="E25" s="216"/>
      <c r="F25" s="217"/>
      <c r="G25" s="218"/>
      <c r="H25" s="179"/>
      <c r="I25" s="179"/>
      <c r="J25" s="179"/>
      <c r="K25" s="209" t="s">
        <v>129</v>
      </c>
      <c r="M25" s="215"/>
      <c r="N25" s="216"/>
      <c r="O25" s="217"/>
      <c r="P25" s="219"/>
      <c r="Q25" s="220"/>
      <c r="R25" s="221"/>
      <c r="S25" s="222"/>
      <c r="T25" s="197"/>
    </row>
    <row r="26" spans="2:20" ht="18" customHeight="1" thickBot="1" x14ac:dyDescent="0.25">
      <c r="B26" s="195"/>
      <c r="C26" s="205" t="s">
        <v>119</v>
      </c>
      <c r="D26" s="223"/>
      <c r="E26" s="224"/>
      <c r="F26" s="225"/>
      <c r="G26" s="226"/>
      <c r="H26" s="179"/>
      <c r="I26" s="179"/>
      <c r="J26" s="179"/>
      <c r="K26" s="209" t="s">
        <v>130</v>
      </c>
      <c r="M26" s="215"/>
      <c r="N26" s="216"/>
      <c r="O26" s="217"/>
      <c r="P26" s="219"/>
      <c r="Q26" s="220"/>
      <c r="R26" s="221"/>
      <c r="S26" s="222"/>
      <c r="T26" s="197"/>
    </row>
    <row r="27" spans="2:20" ht="18" customHeight="1" thickTop="1" thickBot="1" x14ac:dyDescent="0.25">
      <c r="B27" s="195"/>
      <c r="C27" s="227" t="s">
        <v>131</v>
      </c>
      <c r="D27" s="228">
        <f>SUM(D21:D26)</f>
        <v>0</v>
      </c>
      <c r="E27" s="229">
        <f>SUM(E21:E26)</f>
        <v>0</v>
      </c>
      <c r="F27" s="230">
        <f>SUM(K89:K94)</f>
        <v>0</v>
      </c>
      <c r="G27" s="231"/>
      <c r="H27" s="179"/>
      <c r="I27" s="179"/>
      <c r="J27" s="179"/>
      <c r="K27" s="209" t="s">
        <v>132</v>
      </c>
      <c r="M27" s="215"/>
      <c r="N27" s="216"/>
      <c r="O27" s="217"/>
      <c r="P27" s="219"/>
      <c r="Q27" s="220"/>
      <c r="R27" s="221"/>
      <c r="S27" s="222"/>
      <c r="T27" s="197"/>
    </row>
    <row r="28" spans="2:20" ht="18" customHeight="1" thickTop="1" x14ac:dyDescent="0.2">
      <c r="B28" s="195"/>
      <c r="C28" s="232"/>
      <c r="D28" s="210"/>
      <c r="E28" s="210"/>
      <c r="F28" s="210"/>
      <c r="G28" s="210"/>
      <c r="H28" s="210"/>
      <c r="I28" s="210"/>
      <c r="J28" s="210"/>
      <c r="K28" s="209" t="s">
        <v>133</v>
      </c>
      <c r="M28" s="215"/>
      <c r="N28" s="216"/>
      <c r="O28" s="217"/>
      <c r="P28" s="219"/>
      <c r="Q28" s="220"/>
      <c r="R28" s="221"/>
      <c r="S28" s="222"/>
      <c r="T28" s="197"/>
    </row>
    <row r="29" spans="2:20" ht="18" customHeight="1" thickBot="1" x14ac:dyDescent="0.25">
      <c r="B29" s="195"/>
      <c r="C29" s="233" t="s">
        <v>134</v>
      </c>
      <c r="D29" s="233"/>
      <c r="E29" s="233"/>
      <c r="F29" s="233"/>
      <c r="G29" s="233"/>
      <c r="I29" s="179"/>
      <c r="J29" s="179"/>
      <c r="K29" s="209" t="s">
        <v>135</v>
      </c>
      <c r="M29" s="223"/>
      <c r="N29" s="224"/>
      <c r="O29" s="234"/>
      <c r="P29" s="235"/>
      <c r="Q29" s="236"/>
      <c r="R29" s="237"/>
      <c r="S29" s="238"/>
      <c r="T29" s="197"/>
    </row>
    <row r="30" spans="2:20" ht="18" customHeight="1" thickTop="1" thickBot="1" x14ac:dyDescent="0.25">
      <c r="B30" s="195"/>
      <c r="C30" s="239" t="s">
        <v>136</v>
      </c>
      <c r="D30" s="240"/>
      <c r="E30" s="241"/>
      <c r="F30" s="207"/>
      <c r="G30" s="208"/>
      <c r="I30" s="179"/>
      <c r="J30" s="179"/>
      <c r="K30" s="239" t="s">
        <v>137</v>
      </c>
      <c r="L30" s="242"/>
      <c r="M30" s="243">
        <f>SUM(M21:M29)</f>
        <v>0</v>
      </c>
      <c r="N30" s="244">
        <f>SUM(N21:N29)</f>
        <v>0</v>
      </c>
      <c r="O30" s="245">
        <f>SUM(L89:L97)</f>
        <v>0</v>
      </c>
      <c r="P30" s="246"/>
      <c r="Q30" s="247"/>
      <c r="R30" s="247"/>
      <c r="S30" s="247"/>
      <c r="T30" s="197"/>
    </row>
    <row r="31" spans="2:20" ht="18" customHeight="1" thickTop="1" thickBot="1" x14ac:dyDescent="0.25">
      <c r="B31" s="195"/>
      <c r="C31" s="239" t="str">
        <f>"Expected return (max "&amp;AA100*100&amp;"%)"</f>
        <v>Expected return (max 4%)</v>
      </c>
      <c r="D31" s="248"/>
      <c r="E31" s="249"/>
      <c r="F31" s="250"/>
      <c r="G31" s="251"/>
      <c r="I31" s="179"/>
      <c r="J31" s="179"/>
      <c r="K31" s="252" t="str">
        <f>(1-AA87)*100&amp;"% for Servicing"</f>
        <v>80% for Servicing</v>
      </c>
      <c r="L31" s="253"/>
      <c r="M31" s="228"/>
      <c r="N31" s="229"/>
      <c r="O31" s="230">
        <f>O30*(1-AA87)</f>
        <v>0</v>
      </c>
      <c r="P31" s="231"/>
      <c r="Q31" s="247"/>
      <c r="R31" s="247"/>
      <c r="S31" s="247"/>
      <c r="T31" s="197"/>
    </row>
    <row r="32" spans="2:20" ht="18" customHeight="1" thickTop="1" x14ac:dyDescent="0.2">
      <c r="B32" s="195"/>
      <c r="C32" s="199" t="s">
        <v>138</v>
      </c>
      <c r="D32" s="200">
        <f>D$20</f>
        <v>2023</v>
      </c>
      <c r="E32" s="200">
        <f>E$20</f>
        <v>2024</v>
      </c>
      <c r="F32" s="199" t="s">
        <v>139</v>
      </c>
      <c r="G32" s="199"/>
      <c r="I32" s="179"/>
      <c r="J32" s="179"/>
      <c r="K32" s="254"/>
      <c r="Q32" s="242"/>
      <c r="R32" s="242"/>
      <c r="S32" s="242"/>
      <c r="T32" s="197"/>
    </row>
    <row r="33" spans="2:47" ht="18" customHeight="1" thickBot="1" x14ac:dyDescent="0.25">
      <c r="B33" s="195"/>
      <c r="C33" s="239" t="s">
        <v>140</v>
      </c>
      <c r="D33" s="206"/>
      <c r="E33" s="255"/>
      <c r="F33" s="256"/>
      <c r="G33" s="257"/>
      <c r="I33" s="179"/>
      <c r="J33" s="179"/>
      <c r="Q33" s="242"/>
      <c r="R33" s="242"/>
      <c r="S33" s="242"/>
      <c r="T33" s="197"/>
    </row>
    <row r="34" spans="2:47" ht="18" customHeight="1" thickTop="1" thickBot="1" x14ac:dyDescent="0.25">
      <c r="B34" s="195"/>
      <c r="C34" s="252" t="str">
        <f>(1-AA87)*100&amp;"% for Servicing"</f>
        <v>80% for Servicing</v>
      </c>
      <c r="D34" s="228"/>
      <c r="E34" s="229"/>
      <c r="F34" s="230">
        <f>IF(F31&gt;0,MIN(F31,AA100)*F30,(1-AA102)*IF(F33="",E33,F33))</f>
        <v>0</v>
      </c>
      <c r="G34" s="231"/>
      <c r="I34" s="179"/>
      <c r="J34" s="179"/>
      <c r="Q34" s="242"/>
      <c r="R34" s="242"/>
      <c r="S34" s="242"/>
      <c r="T34" s="197"/>
    </row>
    <row r="35" spans="2:47" ht="18" customHeight="1" thickTop="1" x14ac:dyDescent="0.2">
      <c r="B35" s="195"/>
      <c r="H35" s="179"/>
      <c r="I35" s="258"/>
      <c r="J35" s="196"/>
      <c r="K35" s="196"/>
      <c r="L35" s="196"/>
      <c r="M35" s="196"/>
      <c r="N35" s="196"/>
      <c r="O35" s="196"/>
      <c r="P35" s="196"/>
      <c r="Q35" s="196"/>
      <c r="T35" s="197"/>
    </row>
    <row r="36" spans="2:47" ht="18" customHeight="1" x14ac:dyDescent="0.2">
      <c r="B36" s="259">
        <v>2</v>
      </c>
      <c r="C36" s="259" t="s">
        <v>141</v>
      </c>
      <c r="D36" s="259"/>
      <c r="E36" s="259"/>
      <c r="F36" s="259"/>
      <c r="G36" s="259"/>
      <c r="H36" s="259"/>
      <c r="I36" s="179"/>
      <c r="J36" s="259">
        <v>3</v>
      </c>
      <c r="K36" s="259" t="s">
        <v>142</v>
      </c>
      <c r="L36" s="259"/>
      <c r="M36" s="259"/>
      <c r="N36" s="259"/>
      <c r="O36" s="259"/>
      <c r="P36" s="259"/>
      <c r="Q36" s="259"/>
      <c r="R36" s="259"/>
      <c r="S36" s="259"/>
      <c r="T36" s="259"/>
    </row>
    <row r="37" spans="2:47" ht="5.0999999999999996" customHeight="1" x14ac:dyDescent="0.2">
      <c r="B37" s="195"/>
      <c r="C37" s="179"/>
      <c r="D37" s="179"/>
      <c r="E37" s="179"/>
      <c r="F37" s="179"/>
      <c r="G37" s="179"/>
      <c r="H37" s="183"/>
      <c r="I37" s="179"/>
      <c r="J37" s="195"/>
      <c r="T37" s="197"/>
    </row>
    <row r="38" spans="2:47" ht="18" customHeight="1" x14ac:dyDescent="0.2">
      <c r="B38" s="198"/>
      <c r="C38" s="199" t="s">
        <v>143</v>
      </c>
      <c r="D38" s="200">
        <f>D$20</f>
        <v>2023</v>
      </c>
      <c r="E38" s="200">
        <f t="shared" ref="E38" si="0">E$20</f>
        <v>2024</v>
      </c>
      <c r="F38" s="202" t="s">
        <v>144</v>
      </c>
      <c r="G38" s="202"/>
      <c r="H38" s="183"/>
      <c r="I38" s="179"/>
      <c r="J38" s="195"/>
      <c r="K38" s="199" t="s">
        <v>145</v>
      </c>
      <c r="L38" s="199" t="s">
        <v>146</v>
      </c>
      <c r="M38" s="199" t="s">
        <v>147</v>
      </c>
      <c r="N38" s="199" t="s">
        <v>148</v>
      </c>
      <c r="O38" s="199" t="s">
        <v>149</v>
      </c>
      <c r="P38" s="199" t="s">
        <v>150</v>
      </c>
      <c r="T38" s="197"/>
    </row>
    <row r="39" spans="2:47" ht="18" customHeight="1" x14ac:dyDescent="0.2">
      <c r="B39" s="195"/>
      <c r="C39" s="205" t="s">
        <v>114</v>
      </c>
      <c r="D39" s="206"/>
      <c r="E39" s="255"/>
      <c r="F39" s="207"/>
      <c r="G39" s="208"/>
      <c r="H39" s="183"/>
      <c r="I39" s="179"/>
      <c r="J39" s="195"/>
      <c r="K39" s="205" t="s">
        <v>151</v>
      </c>
      <c r="L39" s="260"/>
      <c r="M39" s="261"/>
      <c r="N39" s="262"/>
      <c r="O39" s="263"/>
      <c r="P39" s="264"/>
      <c r="T39" s="197"/>
      <c r="AJ39" s="179"/>
      <c r="AK39" s="179"/>
      <c r="AL39" s="179"/>
      <c r="AM39" s="179"/>
      <c r="AN39" s="179"/>
      <c r="AO39" s="179"/>
      <c r="AP39" s="179"/>
      <c r="AQ39" s="179"/>
      <c r="AR39" s="179"/>
      <c r="AS39" s="179"/>
      <c r="AT39" s="179"/>
      <c r="AU39" s="179"/>
    </row>
    <row r="40" spans="2:47" ht="18" customHeight="1" x14ac:dyDescent="0.2">
      <c r="B40" s="195"/>
      <c r="C40" s="205" t="s">
        <v>115</v>
      </c>
      <c r="D40" s="215"/>
      <c r="E40" s="216"/>
      <c r="F40" s="217"/>
      <c r="G40" s="218"/>
      <c r="H40" s="183"/>
      <c r="I40" s="179"/>
      <c r="J40" s="195"/>
      <c r="K40" s="205" t="s">
        <v>152</v>
      </c>
      <c r="L40" s="265"/>
      <c r="M40" s="266"/>
      <c r="N40" s="267"/>
      <c r="O40" s="268"/>
      <c r="P40" s="269"/>
      <c r="T40" s="197"/>
      <c r="AJ40" s="179"/>
      <c r="AK40" s="179"/>
      <c r="AL40" s="179"/>
      <c r="AM40" s="179"/>
      <c r="AN40" s="179"/>
      <c r="AO40" s="179"/>
      <c r="AP40" s="179"/>
      <c r="AQ40" s="179"/>
      <c r="AR40" s="179"/>
      <c r="AS40" s="179"/>
      <c r="AT40" s="179"/>
      <c r="AU40" s="179"/>
    </row>
    <row r="41" spans="2:47" ht="18" customHeight="1" x14ac:dyDescent="0.2">
      <c r="B41" s="195"/>
      <c r="C41" s="205" t="s">
        <v>116</v>
      </c>
      <c r="D41" s="215"/>
      <c r="E41" s="216"/>
      <c r="F41" s="217"/>
      <c r="G41" s="218"/>
      <c r="H41" s="183"/>
      <c r="I41" s="179"/>
      <c r="J41" s="195"/>
      <c r="K41" s="205" t="s">
        <v>153</v>
      </c>
      <c r="L41" s="265"/>
      <c r="M41" s="266"/>
      <c r="N41" s="267"/>
      <c r="O41" s="268"/>
      <c r="P41" s="269"/>
      <c r="T41" s="197"/>
      <c r="AJ41" s="179"/>
      <c r="AK41" s="179"/>
      <c r="AL41" s="179"/>
      <c r="AM41" s="179"/>
      <c r="AN41" s="179"/>
      <c r="AO41" s="179"/>
      <c r="AP41" s="179"/>
      <c r="AQ41" s="179"/>
      <c r="AR41" s="179"/>
      <c r="AS41" s="179"/>
      <c r="AT41" s="179"/>
      <c r="AU41" s="179"/>
    </row>
    <row r="42" spans="2:47" ht="18" customHeight="1" x14ac:dyDescent="0.2">
      <c r="B42" s="195"/>
      <c r="C42" s="205" t="s">
        <v>117</v>
      </c>
      <c r="D42" s="215"/>
      <c r="E42" s="216"/>
      <c r="F42" s="217"/>
      <c r="G42" s="218"/>
      <c r="H42" s="183"/>
      <c r="I42" s="179"/>
      <c r="J42" s="195"/>
      <c r="K42" s="205" t="s">
        <v>154</v>
      </c>
      <c r="L42" s="265"/>
      <c r="M42" s="266"/>
      <c r="N42" s="267"/>
      <c r="O42" s="268"/>
      <c r="P42" s="269"/>
      <c r="T42" s="197"/>
      <c r="AJ42" s="179"/>
      <c r="AK42" s="179"/>
      <c r="AL42" s="179"/>
      <c r="AM42" s="179"/>
      <c r="AN42" s="179"/>
      <c r="AO42" s="179"/>
      <c r="AP42" s="179"/>
      <c r="AQ42" s="179"/>
      <c r="AR42" s="179"/>
      <c r="AS42" s="179"/>
      <c r="AT42" s="179"/>
      <c r="AU42" s="179"/>
    </row>
    <row r="43" spans="2:47" ht="18" customHeight="1" x14ac:dyDescent="0.2">
      <c r="B43" s="195"/>
      <c r="C43" s="205" t="s">
        <v>118</v>
      </c>
      <c r="D43" s="215"/>
      <c r="E43" s="216"/>
      <c r="F43" s="217"/>
      <c r="G43" s="218"/>
      <c r="H43" s="183"/>
      <c r="I43" s="179"/>
      <c r="J43" s="195"/>
      <c r="K43" s="205" t="s">
        <v>155</v>
      </c>
      <c r="L43" s="265"/>
      <c r="M43" s="266"/>
      <c r="N43" s="267"/>
      <c r="O43" s="268"/>
      <c r="P43" s="269"/>
      <c r="Q43" s="270"/>
      <c r="R43" s="270"/>
      <c r="S43" s="270"/>
      <c r="T43" s="197"/>
      <c r="AJ43" s="179"/>
      <c r="AK43" s="179"/>
      <c r="AL43" s="179"/>
      <c r="AM43" s="179"/>
      <c r="AN43" s="179"/>
      <c r="AO43" s="179"/>
      <c r="AP43" s="179"/>
      <c r="AQ43" s="179"/>
      <c r="AR43" s="179"/>
      <c r="AS43" s="179"/>
      <c r="AT43" s="179"/>
      <c r="AU43" s="179"/>
    </row>
    <row r="44" spans="2:47" ht="18" customHeight="1" thickBot="1" x14ac:dyDescent="0.25">
      <c r="B44" s="195"/>
      <c r="C44" s="205" t="s">
        <v>119</v>
      </c>
      <c r="D44" s="223"/>
      <c r="E44" s="224"/>
      <c r="F44" s="225"/>
      <c r="G44" s="226"/>
      <c r="H44" s="183"/>
      <c r="I44" s="179"/>
      <c r="J44" s="195"/>
      <c r="K44" s="205" t="s">
        <v>156</v>
      </c>
      <c r="L44" s="265"/>
      <c r="M44" s="266"/>
      <c r="N44" s="267"/>
      <c r="O44" s="268"/>
      <c r="P44" s="269"/>
      <c r="Q44" s="270"/>
      <c r="R44" s="270"/>
      <c r="S44" s="270"/>
      <c r="T44" s="197"/>
      <c r="AJ44" s="179"/>
      <c r="AK44" s="179"/>
      <c r="AL44" s="179"/>
      <c r="AM44" s="179"/>
      <c r="AN44" s="179"/>
      <c r="AO44" s="179"/>
      <c r="AP44" s="179"/>
      <c r="AQ44" s="179"/>
      <c r="AR44" s="179"/>
      <c r="AS44" s="179"/>
      <c r="AT44" s="179"/>
      <c r="AU44" s="179"/>
    </row>
    <row r="45" spans="2:47" ht="18" customHeight="1" thickTop="1" thickBot="1" x14ac:dyDescent="0.25">
      <c r="B45" s="195"/>
      <c r="C45" s="227" t="s">
        <v>157</v>
      </c>
      <c r="D45" s="228">
        <f>SUM(D39:D44)</f>
        <v>0</v>
      </c>
      <c r="E45" s="229">
        <f>SUM(E39:E44)</f>
        <v>0</v>
      </c>
      <c r="F45" s="230">
        <f>SUM(M89:M94)</f>
        <v>0</v>
      </c>
      <c r="G45" s="231"/>
      <c r="H45" s="183"/>
      <c r="I45" s="179"/>
      <c r="J45" s="195"/>
      <c r="K45" s="271" t="s">
        <v>158</v>
      </c>
      <c r="L45" s="272"/>
      <c r="M45" s="272"/>
      <c r="N45" s="273"/>
      <c r="O45" s="274"/>
      <c r="P45" s="275"/>
      <c r="Q45" s="270"/>
      <c r="R45" s="270"/>
      <c r="S45" s="270"/>
      <c r="T45" s="197"/>
      <c r="AJ45" s="179"/>
      <c r="AK45" s="179"/>
      <c r="AL45" s="179"/>
      <c r="AM45" s="179"/>
      <c r="AN45" s="179"/>
      <c r="AO45" s="179"/>
      <c r="AP45" s="179"/>
      <c r="AQ45" s="179"/>
      <c r="AR45" s="179"/>
      <c r="AS45" s="179"/>
      <c r="AT45" s="179"/>
      <c r="AU45" s="179"/>
    </row>
    <row r="46" spans="2:47" ht="18" customHeight="1" thickTop="1" x14ac:dyDescent="0.2">
      <c r="B46" s="195"/>
      <c r="C46" s="179"/>
      <c r="H46" s="183"/>
      <c r="I46" s="179"/>
      <c r="J46" s="195"/>
      <c r="T46" s="197"/>
    </row>
    <row r="47" spans="2:47" ht="18" customHeight="1" x14ac:dyDescent="0.2">
      <c r="B47" s="198"/>
      <c r="C47" s="199" t="s">
        <v>159</v>
      </c>
      <c r="D47" s="200">
        <f>D$20</f>
        <v>2023</v>
      </c>
      <c r="E47" s="200">
        <f t="shared" ref="E47" si="1">E$20</f>
        <v>2024</v>
      </c>
      <c r="F47" s="202" t="s">
        <v>160</v>
      </c>
      <c r="G47" s="202"/>
      <c r="H47" s="183"/>
      <c r="I47" s="179"/>
      <c r="J47" s="195"/>
      <c r="K47" s="199" t="s">
        <v>161</v>
      </c>
      <c r="L47" s="199" t="s">
        <v>146</v>
      </c>
      <c r="M47" s="199" t="s">
        <v>147</v>
      </c>
      <c r="N47" s="199" t="s">
        <v>162</v>
      </c>
      <c r="O47" s="199" t="s">
        <v>163</v>
      </c>
      <c r="P47" s="199" t="s">
        <v>148</v>
      </c>
      <c r="Q47" s="199" t="s">
        <v>149</v>
      </c>
      <c r="R47" s="199" t="s">
        <v>23</v>
      </c>
      <c r="S47" s="199" t="s">
        <v>164</v>
      </c>
      <c r="T47" s="197"/>
    </row>
    <row r="48" spans="2:47" ht="18" customHeight="1" x14ac:dyDescent="0.2">
      <c r="B48" s="198"/>
      <c r="C48" s="276"/>
      <c r="D48" s="206"/>
      <c r="E48" s="255"/>
      <c r="F48" s="207"/>
      <c r="G48" s="208"/>
      <c r="H48" s="183"/>
      <c r="I48" s="179"/>
      <c r="J48" s="195"/>
      <c r="K48" s="205" t="s">
        <v>151</v>
      </c>
      <c r="L48" s="260"/>
      <c r="M48" s="261"/>
      <c r="N48" s="261"/>
      <c r="O48" s="261"/>
      <c r="P48" s="262"/>
      <c r="Q48" s="263"/>
      <c r="R48" s="260"/>
      <c r="S48" s="277"/>
      <c r="T48" s="197"/>
    </row>
    <row r="49" spans="2:20" ht="18" customHeight="1" x14ac:dyDescent="0.2">
      <c r="B49" s="198"/>
      <c r="C49" s="278"/>
      <c r="D49" s="215"/>
      <c r="E49" s="216"/>
      <c r="F49" s="217"/>
      <c r="G49" s="218"/>
      <c r="H49" s="183"/>
      <c r="I49" s="179"/>
      <c r="J49" s="195"/>
      <c r="K49" s="205" t="s">
        <v>152</v>
      </c>
      <c r="L49" s="265"/>
      <c r="M49" s="266"/>
      <c r="N49" s="266"/>
      <c r="O49" s="266"/>
      <c r="P49" s="267"/>
      <c r="Q49" s="268"/>
      <c r="R49" s="265"/>
      <c r="S49" s="279"/>
      <c r="T49" s="197"/>
    </row>
    <row r="50" spans="2:20" ht="18" customHeight="1" x14ac:dyDescent="0.2">
      <c r="B50" s="198"/>
      <c r="C50" s="278"/>
      <c r="D50" s="215"/>
      <c r="E50" s="216"/>
      <c r="F50" s="217"/>
      <c r="G50" s="218"/>
      <c r="H50" s="183"/>
      <c r="I50" s="179"/>
      <c r="J50" s="195"/>
      <c r="K50" s="205" t="s">
        <v>153</v>
      </c>
      <c r="L50" s="265"/>
      <c r="M50" s="266"/>
      <c r="N50" s="266"/>
      <c r="O50" s="266"/>
      <c r="P50" s="267"/>
      <c r="Q50" s="268"/>
      <c r="R50" s="265"/>
      <c r="S50" s="279"/>
      <c r="T50" s="197"/>
    </row>
    <row r="51" spans="2:20" ht="18" customHeight="1" thickBot="1" x14ac:dyDescent="0.25">
      <c r="B51" s="198"/>
      <c r="C51" s="280"/>
      <c r="D51" s="215"/>
      <c r="E51" s="216"/>
      <c r="F51" s="217"/>
      <c r="G51" s="218"/>
      <c r="H51" s="183"/>
      <c r="I51" s="179"/>
      <c r="J51" s="195"/>
      <c r="K51" s="205" t="s">
        <v>154</v>
      </c>
      <c r="L51" s="265"/>
      <c r="M51" s="266"/>
      <c r="N51" s="266"/>
      <c r="O51" s="266"/>
      <c r="P51" s="267"/>
      <c r="Q51" s="268"/>
      <c r="R51" s="265"/>
      <c r="S51" s="279"/>
      <c r="T51" s="197"/>
    </row>
    <row r="52" spans="2:20" ht="18" customHeight="1" thickTop="1" thickBot="1" x14ac:dyDescent="0.25">
      <c r="B52" s="198"/>
      <c r="C52" s="227" t="s">
        <v>165</v>
      </c>
      <c r="D52" s="228">
        <f>SUM(D48:D51)</f>
        <v>0</v>
      </c>
      <c r="E52" s="229">
        <f>SUM(E48:E51)</f>
        <v>0</v>
      </c>
      <c r="F52" s="230">
        <f>IF(AND(F27=0,F34=0,O31=0),0,MAX(SUM(N89:N92),$AA$101))</f>
        <v>0</v>
      </c>
      <c r="G52" s="231"/>
      <c r="H52" s="183"/>
      <c r="I52" s="179"/>
      <c r="J52" s="195"/>
      <c r="K52" s="271" t="s">
        <v>155</v>
      </c>
      <c r="L52" s="281"/>
      <c r="M52" s="272"/>
      <c r="N52" s="272"/>
      <c r="O52" s="272"/>
      <c r="P52" s="273"/>
      <c r="Q52" s="274"/>
      <c r="R52" s="281"/>
      <c r="S52" s="282"/>
      <c r="T52" s="197"/>
    </row>
    <row r="53" spans="2:20" ht="18" customHeight="1" thickTop="1" x14ac:dyDescent="0.2">
      <c r="B53" s="198"/>
      <c r="C53" s="179"/>
      <c r="E53" s="187"/>
      <c r="F53" s="187"/>
      <c r="G53" s="187"/>
      <c r="H53" s="183"/>
      <c r="I53" s="179"/>
      <c r="J53" s="195"/>
      <c r="K53" s="210"/>
      <c r="L53" s="283"/>
      <c r="M53" s="283"/>
      <c r="N53" s="283"/>
      <c r="O53" s="283"/>
      <c r="P53" s="283"/>
      <c r="Q53" s="284"/>
      <c r="R53" s="285"/>
      <c r="S53" s="283"/>
      <c r="T53" s="197"/>
    </row>
    <row r="54" spans="2:20" ht="18" customHeight="1" x14ac:dyDescent="0.2">
      <c r="B54" s="259">
        <v>4</v>
      </c>
      <c r="C54" s="259" t="s">
        <v>166</v>
      </c>
      <c r="D54" s="259"/>
      <c r="E54" s="259"/>
      <c r="F54" s="259"/>
      <c r="G54" s="259"/>
      <c r="H54" s="259"/>
      <c r="I54" s="259"/>
      <c r="J54" s="259"/>
      <c r="K54" s="259"/>
      <c r="L54" s="259"/>
      <c r="M54" s="259"/>
      <c r="N54" s="259"/>
      <c r="O54" s="259"/>
      <c r="P54" s="259"/>
      <c r="Q54" s="259"/>
      <c r="R54" s="259"/>
      <c r="S54" s="259"/>
      <c r="T54" s="259"/>
    </row>
    <row r="55" spans="2:20" ht="18" customHeight="1" x14ac:dyDescent="0.2">
      <c r="B55" s="195"/>
      <c r="C55" s="286" t="s">
        <v>167</v>
      </c>
      <c r="D55" s="179"/>
      <c r="E55" s="179"/>
      <c r="F55" s="179"/>
      <c r="G55" s="287"/>
      <c r="H55" s="179"/>
      <c r="I55" s="179"/>
      <c r="J55" s="179"/>
      <c r="K55" s="288" t="s">
        <v>168</v>
      </c>
      <c r="L55" s="179"/>
      <c r="M55" s="179"/>
      <c r="N55" s="179"/>
      <c r="O55" s="179"/>
      <c r="P55" s="179"/>
      <c r="Q55" s="179"/>
      <c r="R55" s="179"/>
      <c r="S55" s="179"/>
      <c r="T55" s="197"/>
    </row>
    <row r="56" spans="2:20" ht="18" customHeight="1" x14ac:dyDescent="0.2">
      <c r="B56" s="195"/>
      <c r="C56" s="289" t="s">
        <v>169</v>
      </c>
      <c r="E56" s="290"/>
      <c r="F56" s="290"/>
      <c r="G56" s="291">
        <f>F27</f>
        <v>0</v>
      </c>
      <c r="H56" s="292"/>
      <c r="K56" s="293" t="s">
        <v>170</v>
      </c>
      <c r="M56" s="294" t="str">
        <f>IF(G63=0,"",G61/G63)</f>
        <v/>
      </c>
      <c r="N56" s="295"/>
      <c r="O56" s="295"/>
      <c r="P56" s="295"/>
      <c r="Q56" s="295"/>
      <c r="T56" s="197"/>
    </row>
    <row r="57" spans="2:20" ht="18" customHeight="1" x14ac:dyDescent="0.2">
      <c r="B57" s="195"/>
      <c r="C57" s="289" t="s">
        <v>171</v>
      </c>
      <c r="G57" s="291">
        <f>O31</f>
        <v>0</v>
      </c>
      <c r="K57" s="289" t="s">
        <v>172</v>
      </c>
      <c r="M57" s="294" t="str">
        <f>IF(G63=0,"",G61/(SUMPRODUCT(P48:P52,N116:N120)+SUMPRODUCT(N39:N45,N107:N113)))</f>
        <v/>
      </c>
      <c r="T57" s="197"/>
    </row>
    <row r="58" spans="2:20" ht="18" customHeight="1" x14ac:dyDescent="0.2">
      <c r="B58" s="195"/>
      <c r="C58" s="289" t="s">
        <v>173</v>
      </c>
      <c r="G58" s="291">
        <f>F34</f>
        <v>0</v>
      </c>
      <c r="K58" s="296" t="s">
        <v>174</v>
      </c>
      <c r="T58" s="197"/>
    </row>
    <row r="59" spans="2:20" ht="18" customHeight="1" x14ac:dyDescent="0.2">
      <c r="B59" s="195"/>
      <c r="C59" s="289" t="s">
        <v>175</v>
      </c>
      <c r="G59" s="291">
        <f>-F45</f>
        <v>0</v>
      </c>
      <c r="K59" s="289" t="s">
        <v>176</v>
      </c>
      <c r="M59" s="294" t="str">
        <f>IF(G63=0,"",G61/SUM(R107:R120))</f>
        <v/>
      </c>
      <c r="Q59" s="297"/>
      <c r="T59" s="197"/>
    </row>
    <row r="60" spans="2:20" ht="18" customHeight="1" thickBot="1" x14ac:dyDescent="0.25">
      <c r="B60" s="195"/>
      <c r="C60" s="289" t="s">
        <v>177</v>
      </c>
      <c r="G60" s="291">
        <f>-F52</f>
        <v>0</v>
      </c>
      <c r="K60" s="293" t="s">
        <v>178</v>
      </c>
      <c r="M60" s="294" t="str">
        <f>IF(G63=0,"",G61/SUM(S107:S120))</f>
        <v/>
      </c>
      <c r="P60" s="295" t="str">
        <f>"* Unstressed Interest Only ICR calculation must be ≥"&amp;AE94&amp;"x"</f>
        <v>* Unstressed Interest Only ICR calculation must be ≥1.5x</v>
      </c>
      <c r="T60" s="197"/>
    </row>
    <row r="61" spans="2:20" ht="18" customHeight="1" x14ac:dyDescent="0.2">
      <c r="B61" s="195"/>
      <c r="C61" s="298" t="s">
        <v>179</v>
      </c>
      <c r="G61" s="299">
        <f>SUM(G56:G60)</f>
        <v>0</v>
      </c>
      <c r="K61" s="293"/>
      <c r="P61" s="295" t="str">
        <f>"** Stressed Principal &amp; Interest DSCR calculation must be &gt;"&amp;AE95&amp;"x"</f>
        <v>** Stressed Principal &amp; Interest DSCR calculation must be &gt;1x</v>
      </c>
      <c r="T61" s="197"/>
    </row>
    <row r="62" spans="2:20" ht="5.0999999999999996" customHeight="1" x14ac:dyDescent="0.2">
      <c r="B62" s="195"/>
      <c r="C62" s="286"/>
      <c r="T62" s="197"/>
    </row>
    <row r="63" spans="2:20" ht="18" customHeight="1" x14ac:dyDescent="0.2">
      <c r="B63" s="195"/>
      <c r="C63" s="298" t="s">
        <v>180</v>
      </c>
      <c r="G63" s="300">
        <f>SUMPRODUCT(P48:P52,Q48:Q52)+SUMPRODUCT(O39:O45,N39:N45)</f>
        <v>0</v>
      </c>
      <c r="K63" s="296" t="s">
        <v>181</v>
      </c>
      <c r="L63" s="295"/>
      <c r="M63" s="301" t="str">
        <f>IF(SUM(P48:P52)=0,"",IF(AND(M56&gt;=$AE$94,M60&gt;$AE$95),"Accept","Fail"))</f>
        <v/>
      </c>
      <c r="T63" s="197"/>
    </row>
    <row r="64" spans="2:20" ht="5.0999999999999996" customHeight="1" x14ac:dyDescent="0.2">
      <c r="B64" s="195"/>
      <c r="C64" s="286"/>
      <c r="T64" s="197"/>
    </row>
    <row r="65" spans="2:20" ht="18" customHeight="1" thickBot="1" x14ac:dyDescent="0.25">
      <c r="B65" s="195"/>
      <c r="C65" s="298" t="s">
        <v>182</v>
      </c>
      <c r="G65" s="302">
        <f>G61-G63</f>
        <v>0</v>
      </c>
      <c r="K65" s="296" t="s">
        <v>183</v>
      </c>
      <c r="L65" s="295"/>
      <c r="M65" s="303" t="str">
        <f>IF(SUM(P48:P52)=0,"", (SUM(P48:P52)+SUM(N39:N45))/G61)</f>
        <v/>
      </c>
      <c r="T65" s="197"/>
    </row>
    <row r="66" spans="2:20" ht="5.0999999999999996" customHeight="1" thickTop="1" x14ac:dyDescent="0.2">
      <c r="B66" s="304"/>
      <c r="C66" s="258"/>
      <c r="D66" s="258"/>
      <c r="E66" s="258"/>
      <c r="F66" s="258"/>
      <c r="G66" s="258"/>
      <c r="H66" s="258"/>
      <c r="I66" s="258"/>
      <c r="J66" s="258"/>
      <c r="K66" s="258"/>
      <c r="L66" s="258"/>
      <c r="M66" s="258"/>
      <c r="N66" s="258"/>
      <c r="O66" s="258"/>
      <c r="P66" s="258"/>
      <c r="Q66" s="258"/>
      <c r="R66" s="258"/>
      <c r="S66" s="258"/>
      <c r="T66" s="305"/>
    </row>
    <row r="67" spans="2:20" ht="18" customHeight="1" x14ac:dyDescent="0.2"/>
    <row r="68" spans="2:20" x14ac:dyDescent="0.2">
      <c r="B68" s="179"/>
      <c r="C68" s="306" t="s">
        <v>184</v>
      </c>
      <c r="D68" s="306"/>
      <c r="E68" s="179"/>
      <c r="F68" s="179"/>
      <c r="R68" s="307" t="e">
        <f>AB4</f>
        <v>#REF!</v>
      </c>
    </row>
    <row r="69" spans="2:20" x14ac:dyDescent="0.2">
      <c r="B69" s="179"/>
      <c r="C69" s="306" t="s">
        <v>185</v>
      </c>
      <c r="D69" s="179"/>
      <c r="I69" s="179"/>
      <c r="J69" s="179"/>
      <c r="R69" s="306" t="str">
        <f ca="1">"© Think Tank Group Pty Ltd, "&amp;YEAR(TODAY())</f>
        <v>© Think Tank Group Pty Ltd, 2025</v>
      </c>
    </row>
    <row r="70" spans="2:20" x14ac:dyDescent="0.2">
      <c r="C70" s="306" t="s">
        <v>186</v>
      </c>
      <c r="D70" s="179"/>
      <c r="I70" s="179"/>
      <c r="J70" s="179"/>
    </row>
    <row r="71" spans="2:20" x14ac:dyDescent="0.2">
      <c r="I71" s="179"/>
      <c r="J71" s="179"/>
    </row>
    <row r="72" spans="2:20" x14ac:dyDescent="0.2">
      <c r="I72" s="179"/>
      <c r="J72" s="179"/>
    </row>
    <row r="73" spans="2:20" x14ac:dyDescent="0.2">
      <c r="I73" s="179"/>
      <c r="J73" s="179"/>
    </row>
    <row r="74" spans="2:20" x14ac:dyDescent="0.2">
      <c r="I74" s="179"/>
      <c r="J74" s="179"/>
    </row>
    <row r="75" spans="2:20" x14ac:dyDescent="0.2">
      <c r="I75" s="179"/>
      <c r="J75" s="179"/>
    </row>
    <row r="76" spans="2:20" x14ac:dyDescent="0.2">
      <c r="I76" s="179"/>
      <c r="J76" s="179"/>
    </row>
    <row r="77" spans="2:20" x14ac:dyDescent="0.2">
      <c r="I77" s="179"/>
      <c r="J77" s="179"/>
    </row>
    <row r="78" spans="2:20" x14ac:dyDescent="0.2">
      <c r="I78" s="179"/>
      <c r="J78" s="179"/>
    </row>
    <row r="79" spans="2:20" x14ac:dyDescent="0.2">
      <c r="I79" s="179"/>
      <c r="J79" s="179"/>
    </row>
    <row r="80" spans="2:20" hidden="1" x14ac:dyDescent="0.2">
      <c r="I80" s="179"/>
      <c r="J80" s="179"/>
    </row>
    <row r="81" spans="3:38" hidden="1" x14ac:dyDescent="0.2">
      <c r="I81" s="179"/>
      <c r="J81" s="179"/>
    </row>
    <row r="82" spans="3:38" hidden="1" x14ac:dyDescent="0.2">
      <c r="I82" s="179"/>
      <c r="J82" s="179"/>
    </row>
    <row r="83" spans="3:38" hidden="1" x14ac:dyDescent="0.2">
      <c r="I83" s="179"/>
      <c r="J83" s="179"/>
    </row>
    <row r="84" spans="3:38" hidden="1" x14ac:dyDescent="0.2"/>
    <row r="85" spans="3:38" hidden="1" x14ac:dyDescent="0.2">
      <c r="Z85" s="308" t="s">
        <v>187</v>
      </c>
      <c r="AA85" s="185"/>
    </row>
    <row r="86" spans="3:38" hidden="1" x14ac:dyDescent="0.2">
      <c r="E86" s="185"/>
      <c r="F86" s="185"/>
      <c r="G86" s="185"/>
      <c r="H86" s="185"/>
      <c r="I86" s="185"/>
      <c r="J86" s="185"/>
      <c r="K86" s="309" t="s">
        <v>188</v>
      </c>
      <c r="Z86" s="185"/>
      <c r="AA86" s="185"/>
      <c r="AB86" s="185"/>
    </row>
    <row r="87" spans="3:38" hidden="1" x14ac:dyDescent="0.2">
      <c r="E87" s="185"/>
      <c r="F87" s="185"/>
      <c r="G87" s="185"/>
      <c r="H87" s="185"/>
      <c r="I87" s="185"/>
      <c r="J87" s="185"/>
      <c r="Z87" s="185" t="s">
        <v>189</v>
      </c>
      <c r="AA87" s="310">
        <v>0.2</v>
      </c>
      <c r="AB87" s="185"/>
    </row>
    <row r="88" spans="3:38" hidden="1" x14ac:dyDescent="0.2">
      <c r="K88" s="210" t="s">
        <v>190</v>
      </c>
      <c r="L88" s="210" t="s">
        <v>191</v>
      </c>
      <c r="M88" s="210" t="s">
        <v>192</v>
      </c>
      <c r="N88" s="210" t="s">
        <v>193</v>
      </c>
      <c r="Z88" s="185"/>
      <c r="AA88" s="185"/>
      <c r="AB88" s="185"/>
      <c r="AC88" s="311" t="s">
        <v>101</v>
      </c>
      <c r="AD88" s="312"/>
      <c r="AE88" s="312"/>
      <c r="AF88" s="313"/>
    </row>
    <row r="89" spans="3:38" hidden="1" x14ac:dyDescent="0.2">
      <c r="C89" s="185"/>
      <c r="D89" s="185"/>
      <c r="K89" s="314">
        <f t="shared" ref="K89:K94" si="2">IF(F21="",E21,F21)</f>
        <v>0</v>
      </c>
      <c r="L89" s="314">
        <f t="shared" ref="L89:L97" si="3">IF(O21="",N21,O21)</f>
        <v>0</v>
      </c>
      <c r="M89" s="314">
        <f t="shared" ref="M89:M94" si="4">IF(F39="",E39,F39)</f>
        <v>0</v>
      </c>
      <c r="N89" s="314">
        <f>IF(F48="",E48,F48)</f>
        <v>0</v>
      </c>
      <c r="Z89" s="185" t="s">
        <v>194</v>
      </c>
      <c r="AA89" s="185"/>
      <c r="AB89" s="315">
        <v>0.02</v>
      </c>
      <c r="AC89" s="184" t="s">
        <v>195</v>
      </c>
      <c r="AD89" s="315">
        <v>0.02</v>
      </c>
      <c r="AE89" s="185" t="s">
        <v>196</v>
      </c>
      <c r="AF89" s="316">
        <v>0.02</v>
      </c>
    </row>
    <row r="90" spans="3:38" hidden="1" x14ac:dyDescent="0.2">
      <c r="C90" s="185"/>
      <c r="D90" s="185"/>
      <c r="K90" s="314">
        <f t="shared" si="2"/>
        <v>0</v>
      </c>
      <c r="L90" s="314">
        <f t="shared" si="3"/>
        <v>0</v>
      </c>
      <c r="M90" s="314">
        <f t="shared" si="4"/>
        <v>0</v>
      </c>
      <c r="N90" s="314">
        <f>IF(F49="",E49,F49)</f>
        <v>0</v>
      </c>
      <c r="Z90" s="185" t="s">
        <v>197</v>
      </c>
      <c r="AA90" s="185"/>
      <c r="AB90" s="315">
        <v>7.0000000000000007E-2</v>
      </c>
      <c r="AC90" s="192" t="s">
        <v>198</v>
      </c>
      <c r="AD90" s="317">
        <v>7.0000000000000007E-2</v>
      </c>
      <c r="AE90" s="193" t="s">
        <v>199</v>
      </c>
      <c r="AF90" s="318">
        <v>7.0000000000000007E-2</v>
      </c>
    </row>
    <row r="91" spans="3:38" hidden="1" x14ac:dyDescent="0.2">
      <c r="C91" s="185"/>
      <c r="D91" s="185"/>
      <c r="E91" s="185"/>
      <c r="F91" s="185"/>
      <c r="G91" s="185"/>
      <c r="H91" s="185"/>
      <c r="I91" s="185"/>
      <c r="J91" s="185"/>
      <c r="K91" s="314">
        <f t="shared" si="2"/>
        <v>0</v>
      </c>
      <c r="L91" s="314">
        <f t="shared" si="3"/>
        <v>0</v>
      </c>
      <c r="M91" s="314">
        <f t="shared" si="4"/>
        <v>0</v>
      </c>
      <c r="N91" s="314">
        <f>IF(F50="",E50,F50)</f>
        <v>0</v>
      </c>
      <c r="Z91" s="319" t="s">
        <v>200</v>
      </c>
      <c r="AA91" s="319"/>
      <c r="AB91" s="320">
        <v>0.01</v>
      </c>
    </row>
    <row r="92" spans="3:38" hidden="1" x14ac:dyDescent="0.2">
      <c r="C92" s="185"/>
      <c r="D92" s="185"/>
      <c r="E92" s="185"/>
      <c r="F92" s="185"/>
      <c r="G92" s="185"/>
      <c r="H92" s="185"/>
      <c r="I92" s="185"/>
      <c r="J92" s="185"/>
      <c r="K92" s="314">
        <f t="shared" si="2"/>
        <v>0</v>
      </c>
      <c r="L92" s="314">
        <f t="shared" si="3"/>
        <v>0</v>
      </c>
      <c r="M92" s="314">
        <f t="shared" si="4"/>
        <v>0</v>
      </c>
      <c r="N92" s="314">
        <f>IF(F51="",E51,F51)</f>
        <v>0</v>
      </c>
      <c r="U92" s="179"/>
      <c r="V92" s="179"/>
      <c r="W92" s="179"/>
      <c r="X92" s="179"/>
      <c r="Y92" s="179"/>
      <c r="Z92" s="185"/>
      <c r="AA92" s="185"/>
      <c r="AB92" s="185"/>
      <c r="AC92" s="179"/>
      <c r="AD92" s="179"/>
      <c r="AE92" s="179"/>
      <c r="AF92" s="179"/>
    </row>
    <row r="93" spans="3:38" hidden="1" x14ac:dyDescent="0.2">
      <c r="C93" s="185"/>
      <c r="D93" s="185"/>
      <c r="E93" s="185"/>
      <c r="F93" s="185"/>
      <c r="G93" s="185"/>
      <c r="K93" s="314">
        <f t="shared" si="2"/>
        <v>0</v>
      </c>
      <c r="L93" s="314">
        <f t="shared" si="3"/>
        <v>0</v>
      </c>
      <c r="M93" s="314">
        <f t="shared" si="4"/>
        <v>0</v>
      </c>
      <c r="N93" s="314"/>
      <c r="Z93" s="185"/>
      <c r="AA93" s="185" t="s">
        <v>70</v>
      </c>
      <c r="AB93" s="185" t="s">
        <v>201</v>
      </c>
      <c r="AC93" s="185" t="s">
        <v>202</v>
      </c>
      <c r="AD93" s="185" t="s">
        <v>100</v>
      </c>
      <c r="AE93" s="185" t="s">
        <v>101</v>
      </c>
      <c r="AG93" s="179"/>
      <c r="AH93" s="179"/>
      <c r="AI93" s="179"/>
      <c r="AJ93" s="179"/>
      <c r="AK93" s="179"/>
      <c r="AL93" s="179"/>
    </row>
    <row r="94" spans="3:38" hidden="1" x14ac:dyDescent="0.2">
      <c r="C94" s="185"/>
      <c r="D94" s="185"/>
      <c r="E94" s="185"/>
      <c r="F94" s="185"/>
      <c r="G94" s="185"/>
      <c r="K94" s="314">
        <f t="shared" si="2"/>
        <v>0</v>
      </c>
      <c r="L94" s="314">
        <f t="shared" si="3"/>
        <v>0</v>
      </c>
      <c r="M94" s="314">
        <f t="shared" si="4"/>
        <v>0</v>
      </c>
      <c r="N94" s="314"/>
      <c r="Z94" s="185" t="s">
        <v>170</v>
      </c>
      <c r="AA94" s="321">
        <v>1.5</v>
      </c>
      <c r="AB94" s="321">
        <v>2</v>
      </c>
      <c r="AC94" s="321">
        <v>1.75</v>
      </c>
      <c r="AD94" s="321">
        <v>2</v>
      </c>
      <c r="AE94" s="321">
        <v>1.5</v>
      </c>
    </row>
    <row r="95" spans="3:38" hidden="1" x14ac:dyDescent="0.2">
      <c r="C95" s="185"/>
      <c r="D95" s="185"/>
      <c r="E95" s="185"/>
      <c r="F95" s="185"/>
      <c r="G95" s="185"/>
      <c r="L95" s="314">
        <f t="shared" si="3"/>
        <v>0</v>
      </c>
      <c r="Z95" s="185" t="s">
        <v>178</v>
      </c>
      <c r="AA95" s="321">
        <v>1</v>
      </c>
      <c r="AB95" s="321">
        <v>1</v>
      </c>
      <c r="AC95" s="321">
        <v>1</v>
      </c>
      <c r="AD95" s="321">
        <v>1</v>
      </c>
      <c r="AE95" s="321">
        <v>1</v>
      </c>
    </row>
    <row r="96" spans="3:38" hidden="1" x14ac:dyDescent="0.2">
      <c r="C96" s="185"/>
      <c r="D96" s="185"/>
      <c r="E96" s="185"/>
      <c r="F96" s="185"/>
      <c r="G96" s="185"/>
      <c r="H96" s="185"/>
      <c r="I96" s="185"/>
      <c r="J96" s="185"/>
      <c r="L96" s="314">
        <f t="shared" si="3"/>
        <v>0</v>
      </c>
      <c r="Z96" s="185"/>
      <c r="AA96" s="185"/>
      <c r="AB96" s="185"/>
    </row>
    <row r="97" spans="3:28" hidden="1" x14ac:dyDescent="0.2">
      <c r="C97" s="185"/>
      <c r="D97" s="185"/>
      <c r="E97" s="185"/>
      <c r="F97" s="185"/>
      <c r="G97" s="185"/>
      <c r="L97" s="314">
        <f t="shared" si="3"/>
        <v>0</v>
      </c>
      <c r="Z97" s="185" t="s">
        <v>101</v>
      </c>
      <c r="AA97" s="185" t="s">
        <v>203</v>
      </c>
      <c r="AB97" s="185" t="s">
        <v>204</v>
      </c>
    </row>
    <row r="98" spans="3:28" hidden="1" x14ac:dyDescent="0.2">
      <c r="C98" s="185"/>
      <c r="D98" s="185"/>
      <c r="E98" s="185"/>
      <c r="F98" s="185"/>
      <c r="G98" s="185"/>
      <c r="L98" s="314"/>
      <c r="Z98" s="185" t="s">
        <v>205</v>
      </c>
      <c r="AA98" s="185" t="s">
        <v>206</v>
      </c>
      <c r="AB98" s="185" t="s">
        <v>205</v>
      </c>
    </row>
    <row r="99" spans="3:28" hidden="1" x14ac:dyDescent="0.2">
      <c r="C99" s="185"/>
      <c r="D99" s="185"/>
      <c r="E99" s="185"/>
      <c r="F99" s="185"/>
      <c r="G99" s="185"/>
      <c r="L99" s="314"/>
      <c r="Z99" s="185" t="s">
        <v>206</v>
      </c>
      <c r="AA99" s="185"/>
      <c r="AB99" s="185" t="s">
        <v>206</v>
      </c>
    </row>
    <row r="100" spans="3:28" hidden="1" x14ac:dyDescent="0.2">
      <c r="C100" s="185"/>
      <c r="D100" s="185"/>
      <c r="E100" s="185"/>
      <c r="F100" s="185"/>
      <c r="G100" s="185"/>
      <c r="L100" s="314"/>
      <c r="Z100" s="185" t="s">
        <v>207</v>
      </c>
      <c r="AA100" s="315">
        <v>0.04</v>
      </c>
      <c r="AB100" s="185"/>
    </row>
    <row r="101" spans="3:28" hidden="1" x14ac:dyDescent="0.2">
      <c r="C101" s="185"/>
      <c r="D101" s="185"/>
      <c r="E101" s="185"/>
      <c r="F101" s="185"/>
      <c r="G101" s="185"/>
      <c r="L101" s="314"/>
      <c r="Z101" s="185" t="s">
        <v>208</v>
      </c>
      <c r="AA101" s="322">
        <v>2500</v>
      </c>
      <c r="AB101" s="185"/>
    </row>
    <row r="102" spans="3:28" hidden="1" x14ac:dyDescent="0.2">
      <c r="C102" s="308"/>
      <c r="D102" s="185"/>
      <c r="E102" s="185"/>
      <c r="F102" s="185"/>
      <c r="G102" s="185"/>
      <c r="Z102" s="185" t="s">
        <v>209</v>
      </c>
      <c r="AA102" s="315">
        <v>0.2</v>
      </c>
      <c r="AB102" s="185"/>
    </row>
    <row r="103" spans="3:28" hidden="1" x14ac:dyDescent="0.2"/>
    <row r="104" spans="3:28" hidden="1" x14ac:dyDescent="0.2">
      <c r="Z104" s="185" t="s">
        <v>210</v>
      </c>
      <c r="AA104" s="321">
        <f>27*12</f>
        <v>324</v>
      </c>
    </row>
    <row r="105" spans="3:28" hidden="1" x14ac:dyDescent="0.2"/>
    <row r="106" spans="3:28" hidden="1" x14ac:dyDescent="0.2">
      <c r="K106" s="323" t="s">
        <v>211</v>
      </c>
      <c r="L106" s="210" t="s">
        <v>212</v>
      </c>
      <c r="M106" s="210" t="s">
        <v>213</v>
      </c>
      <c r="N106" s="210" t="s">
        <v>214</v>
      </c>
      <c r="O106" s="210" t="s">
        <v>215</v>
      </c>
      <c r="P106" s="210" t="s">
        <v>216</v>
      </c>
      <c r="Q106" s="210" t="s">
        <v>217</v>
      </c>
      <c r="R106" s="210" t="s">
        <v>218</v>
      </c>
      <c r="S106" s="210" t="s">
        <v>219</v>
      </c>
      <c r="T106" s="179"/>
    </row>
    <row r="107" spans="3:28" hidden="1" x14ac:dyDescent="0.2">
      <c r="K107" s="179" t="str">
        <f t="shared" ref="K107:K113" si="5">K39</f>
        <v>Loan 1</v>
      </c>
      <c r="L107" s="314">
        <f t="shared" ref="L107:L113" si="6">-N39</f>
        <v>0</v>
      </c>
      <c r="M107" s="324">
        <f t="shared" ref="M107:M113" si="7">O39</f>
        <v>0</v>
      </c>
      <c r="N107" s="325">
        <f t="shared" ref="N107:N113" si="8">O39+IF(M39="Residential",$AF$89,$AD$89)</f>
        <v>0.02</v>
      </c>
      <c r="O107" s="179"/>
      <c r="P107" s="326">
        <f t="shared" ref="P107:P113" si="9">IF($L107=0,0,MAX(PMT(O39/12,$AA$104,L107),$P39))</f>
        <v>0</v>
      </c>
      <c r="Q107" s="326">
        <f t="shared" ref="Q107:Q113" si="10">IF(P107=0,0,P107+N39*IF(M39="Commercial",$AD$89,$AF$89)/12)</f>
        <v>0</v>
      </c>
      <c r="R107" s="327">
        <f>P107*12</f>
        <v>0</v>
      </c>
      <c r="S107" s="327">
        <f>Q107*12</f>
        <v>0</v>
      </c>
      <c r="T107" s="179"/>
    </row>
    <row r="108" spans="3:28" hidden="1" x14ac:dyDescent="0.2">
      <c r="K108" s="179" t="str">
        <f t="shared" si="5"/>
        <v>Loan 2</v>
      </c>
      <c r="L108" s="314">
        <f t="shared" si="6"/>
        <v>0</v>
      </c>
      <c r="M108" s="324">
        <f t="shared" si="7"/>
        <v>0</v>
      </c>
      <c r="N108" s="325">
        <f t="shared" si="8"/>
        <v>0.02</v>
      </c>
      <c r="O108" s="179"/>
      <c r="P108" s="326">
        <f t="shared" si="9"/>
        <v>0</v>
      </c>
      <c r="Q108" s="326">
        <f t="shared" si="10"/>
        <v>0</v>
      </c>
      <c r="R108" s="327">
        <f t="shared" ref="R108:S113" si="11">P108*12</f>
        <v>0</v>
      </c>
      <c r="S108" s="327">
        <f t="shared" si="11"/>
        <v>0</v>
      </c>
      <c r="T108" s="179"/>
    </row>
    <row r="109" spans="3:28" hidden="1" x14ac:dyDescent="0.2">
      <c r="K109" s="179" t="str">
        <f t="shared" si="5"/>
        <v>Loan 3</v>
      </c>
      <c r="L109" s="314">
        <f t="shared" si="6"/>
        <v>0</v>
      </c>
      <c r="M109" s="324">
        <f t="shared" si="7"/>
        <v>0</v>
      </c>
      <c r="N109" s="325">
        <f t="shared" si="8"/>
        <v>0.02</v>
      </c>
      <c r="O109" s="179"/>
      <c r="P109" s="326">
        <f t="shared" si="9"/>
        <v>0</v>
      </c>
      <c r="Q109" s="326">
        <f t="shared" si="10"/>
        <v>0</v>
      </c>
      <c r="R109" s="327">
        <f t="shared" si="11"/>
        <v>0</v>
      </c>
      <c r="S109" s="327">
        <f t="shared" si="11"/>
        <v>0</v>
      </c>
      <c r="T109" s="179"/>
    </row>
    <row r="110" spans="3:28" hidden="1" x14ac:dyDescent="0.2">
      <c r="K110" s="179" t="str">
        <f t="shared" si="5"/>
        <v>Loan 4</v>
      </c>
      <c r="L110" s="314">
        <f t="shared" si="6"/>
        <v>0</v>
      </c>
      <c r="M110" s="324">
        <f t="shared" si="7"/>
        <v>0</v>
      </c>
      <c r="N110" s="325">
        <f t="shared" si="8"/>
        <v>0.02</v>
      </c>
      <c r="O110" s="179"/>
      <c r="P110" s="326">
        <f t="shared" si="9"/>
        <v>0</v>
      </c>
      <c r="Q110" s="326">
        <f t="shared" si="10"/>
        <v>0</v>
      </c>
      <c r="R110" s="327">
        <f t="shared" si="11"/>
        <v>0</v>
      </c>
      <c r="S110" s="327">
        <f t="shared" si="11"/>
        <v>0</v>
      </c>
      <c r="T110" s="179"/>
    </row>
    <row r="111" spans="3:28" hidden="1" x14ac:dyDescent="0.2">
      <c r="K111" s="179" t="str">
        <f t="shared" si="5"/>
        <v>Loan 5</v>
      </c>
      <c r="L111" s="314">
        <f t="shared" si="6"/>
        <v>0</v>
      </c>
      <c r="M111" s="324">
        <f t="shared" si="7"/>
        <v>0</v>
      </c>
      <c r="N111" s="325">
        <f t="shared" si="8"/>
        <v>0.02</v>
      </c>
      <c r="O111" s="179"/>
      <c r="P111" s="326">
        <f t="shared" si="9"/>
        <v>0</v>
      </c>
      <c r="Q111" s="326">
        <f t="shared" si="10"/>
        <v>0</v>
      </c>
      <c r="R111" s="327">
        <f t="shared" si="11"/>
        <v>0</v>
      </c>
      <c r="S111" s="327">
        <f t="shared" si="11"/>
        <v>0</v>
      </c>
      <c r="T111" s="179"/>
    </row>
    <row r="112" spans="3:28" hidden="1" x14ac:dyDescent="0.2">
      <c r="K112" s="179" t="str">
        <f t="shared" si="5"/>
        <v>Loan 6</v>
      </c>
      <c r="L112" s="314">
        <f t="shared" si="6"/>
        <v>0</v>
      </c>
      <c r="M112" s="324">
        <f t="shared" si="7"/>
        <v>0</v>
      </c>
      <c r="N112" s="325">
        <f t="shared" si="8"/>
        <v>0.02</v>
      </c>
      <c r="O112" s="179"/>
      <c r="P112" s="326">
        <f t="shared" si="9"/>
        <v>0</v>
      </c>
      <c r="Q112" s="326">
        <f t="shared" si="10"/>
        <v>0</v>
      </c>
      <c r="R112" s="327">
        <f t="shared" si="11"/>
        <v>0</v>
      </c>
      <c r="S112" s="327">
        <f t="shared" si="11"/>
        <v>0</v>
      </c>
      <c r="T112" s="179"/>
    </row>
    <row r="113" spans="7:20" hidden="1" x14ac:dyDescent="0.2">
      <c r="K113" s="179" t="str">
        <f t="shared" si="5"/>
        <v>Loan 7</v>
      </c>
      <c r="L113" s="314">
        <f t="shared" si="6"/>
        <v>0</v>
      </c>
      <c r="M113" s="324">
        <f t="shared" si="7"/>
        <v>0</v>
      </c>
      <c r="N113" s="325">
        <f t="shared" si="8"/>
        <v>0.02</v>
      </c>
      <c r="O113" s="179"/>
      <c r="P113" s="326">
        <f t="shared" si="9"/>
        <v>0</v>
      </c>
      <c r="Q113" s="326">
        <f t="shared" si="10"/>
        <v>0</v>
      </c>
      <c r="R113" s="327">
        <f t="shared" si="11"/>
        <v>0</v>
      </c>
      <c r="S113" s="327">
        <f t="shared" si="11"/>
        <v>0</v>
      </c>
      <c r="T113" s="179"/>
    </row>
    <row r="114" spans="7:20" hidden="1" x14ac:dyDescent="0.2"/>
    <row r="115" spans="7:20" hidden="1" x14ac:dyDescent="0.2">
      <c r="K115" s="323" t="s">
        <v>220</v>
      </c>
    </row>
    <row r="116" spans="7:20" hidden="1" x14ac:dyDescent="0.2">
      <c r="G116" s="328"/>
      <c r="K116" s="179" t="str">
        <f>K48</f>
        <v>Loan 1</v>
      </c>
      <c r="L116" s="314">
        <f>-P48</f>
        <v>0</v>
      </c>
      <c r="M116" s="324">
        <f>Q48</f>
        <v>0</v>
      </c>
      <c r="N116" s="325">
        <f>IF(N48="SMSF Easy Refi",MAX(Q48+$AB$91,$AF$90),IF(M48="Residential",MAX(Q48+$AF$89,$AF$90),MAX(Q48+$AD$89,$AD$90)))</f>
        <v>7.0000000000000007E-2</v>
      </c>
      <c r="O116" s="179">
        <f>(R48-S48)*12</f>
        <v>0</v>
      </c>
      <c r="P116" s="326">
        <f t="shared" ref="P116:Q120" si="12">IF($N48="GST",$P48*M116/12,IF($P48=0,0,PMT(M116/12,$O116,$L116,0,0)))</f>
        <v>0</v>
      </c>
      <c r="Q116" s="326">
        <f t="shared" si="12"/>
        <v>0</v>
      </c>
      <c r="R116" s="327">
        <f>P116*12</f>
        <v>0</v>
      </c>
      <c r="S116" s="327">
        <f>Q116*12</f>
        <v>0</v>
      </c>
    </row>
    <row r="117" spans="7:20" hidden="1" x14ac:dyDescent="0.2">
      <c r="K117" s="179" t="str">
        <f>K49</f>
        <v>Loan 2</v>
      </c>
      <c r="L117" s="314">
        <f>-P49</f>
        <v>0</v>
      </c>
      <c r="M117" s="324">
        <f>Q49</f>
        <v>0</v>
      </c>
      <c r="N117" s="325">
        <f t="shared" ref="N117:N120" si="13">IF(N49="SMSF Easy Refi",MAX(Q49+$AB$91,$AF$90),IF(M49="Residential",MAX(Q49+$AF$89,$AF$90),MAX(Q49+$AD$89,$AD$90)))</f>
        <v>7.0000000000000007E-2</v>
      </c>
      <c r="O117" s="179">
        <f>(R49-S49)*12</f>
        <v>0</v>
      </c>
      <c r="P117" s="326">
        <f t="shared" si="12"/>
        <v>0</v>
      </c>
      <c r="Q117" s="326">
        <f t="shared" si="12"/>
        <v>0</v>
      </c>
      <c r="R117" s="327">
        <f t="shared" ref="R117:S120" si="14">P117*12</f>
        <v>0</v>
      </c>
      <c r="S117" s="327">
        <f t="shared" si="14"/>
        <v>0</v>
      </c>
    </row>
    <row r="118" spans="7:20" hidden="1" x14ac:dyDescent="0.2">
      <c r="K118" s="179" t="str">
        <f>K50</f>
        <v>Loan 3</v>
      </c>
      <c r="L118" s="314">
        <f>-P50</f>
        <v>0</v>
      </c>
      <c r="M118" s="324">
        <f>Q50</f>
        <v>0</v>
      </c>
      <c r="N118" s="325">
        <f t="shared" si="13"/>
        <v>7.0000000000000007E-2</v>
      </c>
      <c r="O118" s="179">
        <f>(R50-S50)*12</f>
        <v>0</v>
      </c>
      <c r="P118" s="326">
        <f t="shared" si="12"/>
        <v>0</v>
      </c>
      <c r="Q118" s="326">
        <f t="shared" si="12"/>
        <v>0</v>
      </c>
      <c r="R118" s="327">
        <f t="shared" si="14"/>
        <v>0</v>
      </c>
      <c r="S118" s="327">
        <f t="shared" si="14"/>
        <v>0</v>
      </c>
    </row>
    <row r="119" spans="7:20" hidden="1" x14ac:dyDescent="0.2">
      <c r="K119" s="179" t="str">
        <f>K51</f>
        <v>Loan 4</v>
      </c>
      <c r="L119" s="314">
        <f>-P51</f>
        <v>0</v>
      </c>
      <c r="M119" s="324">
        <f>Q51</f>
        <v>0</v>
      </c>
      <c r="N119" s="325">
        <f t="shared" si="13"/>
        <v>7.0000000000000007E-2</v>
      </c>
      <c r="O119" s="179">
        <f>(R51-S51)*12</f>
        <v>0</v>
      </c>
      <c r="P119" s="326">
        <f t="shared" si="12"/>
        <v>0</v>
      </c>
      <c r="Q119" s="326">
        <f t="shared" si="12"/>
        <v>0</v>
      </c>
      <c r="R119" s="327">
        <f t="shared" si="14"/>
        <v>0</v>
      </c>
      <c r="S119" s="327">
        <f t="shared" si="14"/>
        <v>0</v>
      </c>
    </row>
    <row r="120" spans="7:20" hidden="1" x14ac:dyDescent="0.2">
      <c r="K120" s="179" t="str">
        <f>K52</f>
        <v>Loan 5</v>
      </c>
      <c r="L120" s="314">
        <f>-P52</f>
        <v>0</v>
      </c>
      <c r="M120" s="324">
        <f>Q52</f>
        <v>0</v>
      </c>
      <c r="N120" s="325">
        <f t="shared" si="13"/>
        <v>7.0000000000000007E-2</v>
      </c>
      <c r="O120" s="179">
        <f>(R52-S52)*12</f>
        <v>0</v>
      </c>
      <c r="P120" s="326">
        <f t="shared" si="12"/>
        <v>0</v>
      </c>
      <c r="Q120" s="326">
        <f t="shared" si="12"/>
        <v>0</v>
      </c>
      <c r="R120" s="327">
        <f t="shared" si="14"/>
        <v>0</v>
      </c>
      <c r="S120" s="327">
        <f t="shared" si="14"/>
        <v>0</v>
      </c>
    </row>
    <row r="121" spans="7:20" hidden="1" x14ac:dyDescent="0.2">
      <c r="K121" s="179"/>
      <c r="L121" s="314"/>
      <c r="M121" s="324"/>
      <c r="N121" s="325"/>
      <c r="O121" s="179"/>
      <c r="P121" s="326"/>
      <c r="Q121" s="326"/>
      <c r="R121" s="327"/>
      <c r="S121" s="327"/>
    </row>
    <row r="122" spans="7:20" hidden="1" x14ac:dyDescent="0.2"/>
    <row r="123" spans="7:20" hidden="1" x14ac:dyDescent="0.2"/>
    <row r="124" spans="7:20" hidden="1" x14ac:dyDescent="0.2"/>
    <row r="125" spans="7:20" hidden="1" x14ac:dyDescent="0.2"/>
    <row r="126" spans="7:20" hidden="1" x14ac:dyDescent="0.2"/>
    <row r="127" spans="7:20" hidden="1" x14ac:dyDescent="0.2"/>
    <row r="128" spans="7:20"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aearvv87SDMKOY1vGAMPDb72l7zvIl5pC9p//Vc8SHp8c+mHBWGt5a6SJM/vHowuBsEV/tyy+ivDBPYo9hRlg==" saltValue="K7RAxcFap4MHKOfJrtLrHQ==" spinCount="100000" sheet="1" objects="1" scenarios="1"/>
  <mergeCells count="58">
    <mergeCell ref="F45:G45"/>
    <mergeCell ref="F48:G48"/>
    <mergeCell ref="F49:G49"/>
    <mergeCell ref="F50:G50"/>
    <mergeCell ref="F51:G51"/>
    <mergeCell ref="F52:G52"/>
    <mergeCell ref="F39:G39"/>
    <mergeCell ref="F40:G40"/>
    <mergeCell ref="F41:G41"/>
    <mergeCell ref="F42:G42"/>
    <mergeCell ref="F43:G43"/>
    <mergeCell ref="F44:G44"/>
    <mergeCell ref="F30:G30"/>
    <mergeCell ref="O30:P30"/>
    <mergeCell ref="F31:G31"/>
    <mergeCell ref="O31:P31"/>
    <mergeCell ref="F33:G33"/>
    <mergeCell ref="F34:G34"/>
    <mergeCell ref="F27:G27"/>
    <mergeCell ref="O27:P27"/>
    <mergeCell ref="Q27:S27"/>
    <mergeCell ref="O28:P28"/>
    <mergeCell ref="Q28:S28"/>
    <mergeCell ref="O29:P29"/>
    <mergeCell ref="Q29:S29"/>
    <mergeCell ref="F25:G25"/>
    <mergeCell ref="O25:P25"/>
    <mergeCell ref="Q25:S25"/>
    <mergeCell ref="F26:G26"/>
    <mergeCell ref="O26:P26"/>
    <mergeCell ref="Q26:S26"/>
    <mergeCell ref="F23:G23"/>
    <mergeCell ref="O23:P23"/>
    <mergeCell ref="Q23:S23"/>
    <mergeCell ref="F24:G24"/>
    <mergeCell ref="O24:P24"/>
    <mergeCell ref="Q24:S24"/>
    <mergeCell ref="D16:F16"/>
    <mergeCell ref="K16:S16"/>
    <mergeCell ref="F21:G21"/>
    <mergeCell ref="O21:P21"/>
    <mergeCell ref="Q21:S21"/>
    <mergeCell ref="F22:G22"/>
    <mergeCell ref="O22:P22"/>
    <mergeCell ref="Q22:S22"/>
    <mergeCell ref="D10:F10"/>
    <mergeCell ref="K10:S10"/>
    <mergeCell ref="D12:F12"/>
    <mergeCell ref="K12:S12"/>
    <mergeCell ref="D14:F14"/>
    <mergeCell ref="K14:S14"/>
    <mergeCell ref="D2:E2"/>
    <mergeCell ref="D4:F4"/>
    <mergeCell ref="K4:S4"/>
    <mergeCell ref="D6:F6"/>
    <mergeCell ref="K6:S6"/>
    <mergeCell ref="D8:F8"/>
    <mergeCell ref="K8:S8"/>
  </mergeCells>
  <conditionalFormatting sqref="M63">
    <cfRule type="cellIs" dxfId="277" priority="108" operator="equal">
      <formula>"Fail"</formula>
    </cfRule>
    <cfRule type="cellIs" dxfId="276" priority="109" operator="equal">
      <formula>"Accept"</formula>
    </cfRule>
  </conditionalFormatting>
  <conditionalFormatting sqref="S48:S52">
    <cfRule type="expression" dxfId="275" priority="110">
      <formula>$O48="P&amp;I"</formula>
    </cfRule>
  </conditionalFormatting>
  <conditionalFormatting sqref="F33:G33">
    <cfRule type="expression" dxfId="274" priority="107">
      <formula>AND($F$30&gt;0,$F$31&gt;0,$F$33&gt;0)</formula>
    </cfRule>
  </conditionalFormatting>
  <conditionalFormatting sqref="E33">
    <cfRule type="expression" dxfId="273" priority="106">
      <formula>AND($F$30&gt;0,$F$31&gt;0,$E$33&gt;0)</formula>
    </cfRule>
  </conditionalFormatting>
  <conditionalFormatting sqref="D33">
    <cfRule type="expression" dxfId="272" priority="105">
      <formula>AND($F$30&gt;0,$F$31&gt;0,$D$33&gt;0)</formula>
    </cfRule>
  </conditionalFormatting>
  <conditionalFormatting sqref="M56">
    <cfRule type="expression" dxfId="271" priority="111">
      <formula>$M$56&lt;$AE$94</formula>
    </cfRule>
    <cfRule type="expression" dxfId="270" priority="112">
      <formula>$M$56&gt;=$AE$94</formula>
    </cfRule>
  </conditionalFormatting>
  <conditionalFormatting sqref="M60">
    <cfRule type="expression" dxfId="269" priority="113">
      <formula>$M$60&lt;=$AE$95</formula>
    </cfRule>
    <cfRule type="expression" dxfId="268" priority="114">
      <formula>$M$60&gt;$AE$95</formula>
    </cfRule>
  </conditionalFormatting>
  <conditionalFormatting sqref="G1">
    <cfRule type="expression" dxfId="267" priority="102">
      <formula>OR(SMSFBranding="PLANEdge")</formula>
    </cfRule>
    <cfRule type="expression" dxfId="266" priority="104">
      <formula>OR(SMSFBranding="ChoiceExcel")</formula>
    </cfRule>
  </conditionalFormatting>
  <conditionalFormatting sqref="G1">
    <cfRule type="expression" dxfId="265" priority="103">
      <formula>OR(SMSFBranding="FASTExcel", SMSFBranding="ChoiceEdge")</formula>
    </cfRule>
  </conditionalFormatting>
  <conditionalFormatting sqref="E1">
    <cfRule type="expression" dxfId="264" priority="99">
      <formula>OR(SMSFBranding="PLANEdge")</formula>
    </cfRule>
    <cfRule type="expression" dxfId="263" priority="101">
      <formula>OR(SMSFBranding="ChoiceExcel")</formula>
    </cfRule>
  </conditionalFormatting>
  <conditionalFormatting sqref="E1">
    <cfRule type="expression" dxfId="262" priority="100">
      <formula>OR(SMSFBranding="FASTExcel", SMSFBranding="ChoiceEdge")</formula>
    </cfRule>
  </conditionalFormatting>
  <conditionalFormatting sqref="J2:O2">
    <cfRule type="expression" dxfId="261" priority="94">
      <formula>OR(SMSFBranding = "Con")</formula>
    </cfRule>
    <cfRule type="expression" dxfId="260" priority="95">
      <formula>SMSFBranding = "RM"</formula>
    </cfRule>
    <cfRule type="expression" dxfId="259" priority="96">
      <formula>OR(SMSFBranding="PLANExcel", SMSFBranding="PLANEdge")</formula>
    </cfRule>
    <cfRule type="expression" dxfId="258" priority="97">
      <formula>OR(SMSFBranding="FastExcel", SMSFBranding="FastEdge")</formula>
    </cfRule>
    <cfRule type="expression" dxfId="257" priority="98">
      <formula>OR(SMSFBranding="ChoiceExcel", SMSFBranding="ChoiceEdge")</formula>
    </cfRule>
  </conditionalFormatting>
  <conditionalFormatting sqref="B18:T18">
    <cfRule type="expression" dxfId="256" priority="22">
      <formula>OR(SMSFBranding = "AFG")</formula>
    </cfRule>
    <cfRule type="expression" dxfId="255" priority="89">
      <formula>OR(SMSFBranding = "Con")</formula>
    </cfRule>
    <cfRule type="expression" dxfId="254" priority="90">
      <formula>SMSFBranding = "RM"</formula>
    </cfRule>
    <cfRule type="expression" dxfId="253" priority="91">
      <formula>OR(SMSFBranding="PLANExcel", SMSFBranding="PLANEdge")</formula>
    </cfRule>
    <cfRule type="expression" dxfId="252" priority="92">
      <formula>OR(SMSFBranding="FastExcel", SMSFBranding="FastEdge")</formula>
    </cfRule>
    <cfRule type="expression" dxfId="251" priority="93">
      <formula>OR(SMSFBranding="ChoiceExcel", SMSFBranding="ChoiceEdge")</formula>
    </cfRule>
  </conditionalFormatting>
  <conditionalFormatting sqref="C20:G20">
    <cfRule type="expression" dxfId="250" priority="21">
      <formula>OR(SMSFBranding = "AFG")</formula>
    </cfRule>
    <cfRule type="expression" dxfId="249" priority="84">
      <formula>OR(SMSFBranding = "Con")</formula>
    </cfRule>
    <cfRule type="expression" dxfId="248" priority="85">
      <formula>SMSFBranding = "RM"</formula>
    </cfRule>
    <cfRule type="expression" dxfId="247" priority="86">
      <formula>OR(SMSFBranding="PLANExcel", SMSFBranding="PLANEdge")</formula>
    </cfRule>
    <cfRule type="expression" dxfId="246" priority="87">
      <formula>OR(SMSFBranding="FastExcel", SMSFBranding="FastEdge")</formula>
    </cfRule>
    <cfRule type="expression" dxfId="245" priority="88">
      <formula>OR(SMSFBranding="ChoiceExcel", SMSFBranding="ChoiceEdge")</formula>
    </cfRule>
  </conditionalFormatting>
  <conditionalFormatting sqref="K20 Q20">
    <cfRule type="expression" dxfId="244" priority="19">
      <formula>OR(SMSFBranding = "Con")</formula>
    </cfRule>
    <cfRule type="expression" dxfId="243" priority="79">
      <formula>OR(SMSFBranding = "AFG")</formula>
    </cfRule>
    <cfRule type="expression" dxfId="242" priority="80">
      <formula>SMSFBranding = "RM"</formula>
    </cfRule>
    <cfRule type="expression" dxfId="241" priority="81">
      <formula>OR(SMSFBranding="PLANExcel", SMSFBranding="PLANEdge")</formula>
    </cfRule>
    <cfRule type="expression" dxfId="240" priority="82">
      <formula>OR(SMSFBranding="FastExcel", SMSFBranding="FastEdge")</formula>
    </cfRule>
    <cfRule type="expression" dxfId="239" priority="83">
      <formula>OR(SMSFBranding="ChoiceExcel", SMSFBranding="ChoiceEdge")</formula>
    </cfRule>
  </conditionalFormatting>
  <conditionalFormatting sqref="L20:P20 R20:S20">
    <cfRule type="expression" dxfId="238" priority="20">
      <formula>OR(SMSFBranding = "AFG")</formula>
    </cfRule>
    <cfRule type="expression" dxfId="237" priority="74">
      <formula>OR(SMSFBranding = "Con")</formula>
    </cfRule>
    <cfRule type="expression" dxfId="236" priority="75">
      <formula>SMSFBranding = "RM"</formula>
    </cfRule>
    <cfRule type="expression" dxfId="235" priority="76">
      <formula>OR(SMSFBranding="PLANExcel", SMSFBranding="PLANEdge")</formula>
    </cfRule>
    <cfRule type="expression" dxfId="234" priority="77">
      <formula>OR(SMSFBranding="FastExcel", SMSFBranding="FastEdge")</formula>
    </cfRule>
    <cfRule type="expression" dxfId="233" priority="78">
      <formula>OR(SMSFBranding="ChoiceExcel", SMSFBranding="ChoiceEdge")</formula>
    </cfRule>
  </conditionalFormatting>
  <conditionalFormatting sqref="C29:G29">
    <cfRule type="expression" dxfId="232" priority="10">
      <formula>OR(SMSFBranding = "AFG")</formula>
    </cfRule>
    <cfRule type="expression" dxfId="231" priority="69">
      <formula>OR(SMSFBranding = "Con")</formula>
    </cfRule>
    <cfRule type="expression" dxfId="230" priority="70">
      <formula>SMSFBranding = "RM"</formula>
    </cfRule>
    <cfRule type="expression" dxfId="229" priority="71">
      <formula>OR(SMSFBranding="PLANExcel", SMSFBranding="PLANEdge")</formula>
    </cfRule>
    <cfRule type="expression" dxfId="228" priority="72">
      <formula>OR(SMSFBranding="FastExcel", SMSFBranding="FastEdge")</formula>
    </cfRule>
    <cfRule type="expression" dxfId="227" priority="73">
      <formula>OR(SMSFBranding="ChoiceExcel", SMSFBranding="ChoiceEdge")</formula>
    </cfRule>
  </conditionalFormatting>
  <conditionalFormatting sqref="C32:G32">
    <cfRule type="expression" dxfId="226" priority="11">
      <formula>OR(SMSFBranding = "AFG")</formula>
    </cfRule>
    <cfRule type="expression" dxfId="225" priority="64">
      <formula>OR(SMSFBranding = "Con")</formula>
    </cfRule>
    <cfRule type="expression" dxfId="224" priority="65">
      <formula>SMSFBranding = "RM"</formula>
    </cfRule>
    <cfRule type="expression" dxfId="223" priority="66">
      <formula>OR(SMSFBranding="PLANExcel", SMSFBranding="PLANEdge")</formula>
    </cfRule>
    <cfRule type="expression" dxfId="222" priority="67">
      <formula>OR(SMSFBranding="FastExcel", SMSFBranding="FastEdge")</formula>
    </cfRule>
    <cfRule type="expression" dxfId="221" priority="68">
      <formula>OR(SMSFBranding="ChoiceExcel", SMSFBranding="ChoiceEdge")</formula>
    </cfRule>
  </conditionalFormatting>
  <conditionalFormatting sqref="C38:G38">
    <cfRule type="expression" dxfId="220" priority="12">
      <formula>OR(SMSFBranding = "AFG")</formula>
    </cfRule>
    <cfRule type="expression" dxfId="219" priority="59">
      <formula>OR( SMSFBranding = "Con")</formula>
    </cfRule>
    <cfRule type="expression" dxfId="218" priority="60">
      <formula>SMSFBranding = "RM"</formula>
    </cfRule>
    <cfRule type="expression" dxfId="217" priority="61">
      <formula>OR(SMSFBranding="PLANExcel", SMSFBranding="PLANEdge")</formula>
    </cfRule>
    <cfRule type="expression" dxfId="216" priority="62">
      <formula>OR(SMSFBranding="FastExcel", SMSFBranding="FastEdge")</formula>
    </cfRule>
    <cfRule type="expression" dxfId="215" priority="63">
      <formula>OR(SMSFBranding="ChoiceExcel", SMSFBranding="ChoiceEdge")</formula>
    </cfRule>
  </conditionalFormatting>
  <conditionalFormatting sqref="C47:G47">
    <cfRule type="expression" dxfId="214" priority="13">
      <formula>OR(SMSFBranding = "AFG")</formula>
    </cfRule>
    <cfRule type="expression" dxfId="213" priority="54">
      <formula>OR(SMSFBranding = "Con")</formula>
    </cfRule>
    <cfRule type="expression" dxfId="212" priority="55">
      <formula>SMSFBranding = "RM"</formula>
    </cfRule>
    <cfRule type="expression" dxfId="211" priority="56">
      <formula>OR(SMSFBranding="PLANExcel", SMSFBranding="PLANEdge")</formula>
    </cfRule>
    <cfRule type="expression" dxfId="210" priority="57">
      <formula>OR(SMSFBranding="FastExcel", SMSFBranding="FastEdge")</formula>
    </cfRule>
    <cfRule type="expression" dxfId="209" priority="58">
      <formula>OR(SMSFBranding="ChoiceExcel", SMSFBranding="ChoiceEdge")</formula>
    </cfRule>
  </conditionalFormatting>
  <conditionalFormatting sqref="K38:P38">
    <cfRule type="expression" dxfId="208" priority="14">
      <formula>OR(SMSFBranding = "AFG")</formula>
    </cfRule>
    <cfRule type="expression" dxfId="207" priority="49">
      <formula>OR(SMSFBranding = "Con")</formula>
    </cfRule>
    <cfRule type="expression" dxfId="206" priority="50">
      <formula>SMSFBranding = "RM"</formula>
    </cfRule>
    <cfRule type="expression" dxfId="205" priority="51">
      <formula>OR(SMSFBranding="PLANExcel", SMSFBranding="PLANEdge")</formula>
    </cfRule>
    <cfRule type="expression" dxfId="204" priority="52">
      <formula>OR(SMSFBranding="FastExcel", SMSFBranding="FastEdge")</formula>
    </cfRule>
    <cfRule type="expression" dxfId="203" priority="53">
      <formula>OR(SMSFBranding="ChoiceExcel", SMSFBranding="ChoiceEdge")</formula>
    </cfRule>
  </conditionalFormatting>
  <conditionalFormatting sqref="K47:S47">
    <cfRule type="expression" dxfId="202" priority="15">
      <formula>OR(SMSFBranding = "AFG")</formula>
    </cfRule>
    <cfRule type="expression" dxfId="201" priority="44">
      <formula>OR(SMSFBranding = "Con")</formula>
    </cfRule>
    <cfRule type="expression" dxfId="200" priority="45">
      <formula>SMSFBranding = "RM"</formula>
    </cfRule>
    <cfRule type="expression" dxfId="199" priority="46">
      <formula>OR(SMSFBranding="PLANExcel", SMSFBranding="PLANEdge")</formula>
    </cfRule>
    <cfRule type="expression" dxfId="198" priority="47">
      <formula>OR(SMSFBranding="FastExcel", SMSFBranding="FastEdge")</formula>
    </cfRule>
    <cfRule type="expression" dxfId="197" priority="48">
      <formula>OR(SMSFBranding="ChoiceExcel", SMSFBranding="ChoiceEdge")</formula>
    </cfRule>
  </conditionalFormatting>
  <conditionalFormatting sqref="J36:T36">
    <cfRule type="expression" dxfId="196" priority="16">
      <formula>OR(SMSFBranding = "AFG")</formula>
    </cfRule>
    <cfRule type="expression" dxfId="195" priority="39">
      <formula>OR(SMSFBranding = "Con")</formula>
    </cfRule>
    <cfRule type="expression" dxfId="194" priority="40">
      <formula>SMSFBranding = "RM"</formula>
    </cfRule>
    <cfRule type="expression" dxfId="193" priority="41">
      <formula>OR(SMSFBranding="PLANExcel", SMSFBranding="PLANEdge")</formula>
    </cfRule>
    <cfRule type="expression" dxfId="192" priority="42">
      <formula>OR(SMSFBranding="FastExcel", SMSFBranding="FastEdge")</formula>
    </cfRule>
    <cfRule type="expression" dxfId="191" priority="43">
      <formula>OR(SMSFBranding="ChoiceExcel", SMSFBranding="ChoiceEdge")</formula>
    </cfRule>
  </conditionalFormatting>
  <conditionalFormatting sqref="B36:H36">
    <cfRule type="expression" dxfId="190" priority="17">
      <formula>OR(SMSFBranding = "AFG")</formula>
    </cfRule>
    <cfRule type="expression" dxfId="189" priority="34">
      <formula>OR(SMSFBranding = "Con")</formula>
    </cfRule>
    <cfRule type="expression" dxfId="188" priority="35">
      <formula>SMSFBranding = "RM"</formula>
    </cfRule>
    <cfRule type="expression" dxfId="187" priority="36">
      <formula>OR(SMSFBranding="PLANExcel", SMSFBranding="PLANEdge")</formula>
    </cfRule>
    <cfRule type="expression" dxfId="186" priority="37">
      <formula>OR(SMSFBranding="FastExcel", SMSFBranding="FastEdge")</formula>
    </cfRule>
    <cfRule type="expression" dxfId="185" priority="38">
      <formula>OR(SMSFBranding="ChoiceExcel", SMSFBranding="ChoiceEdge")</formula>
    </cfRule>
  </conditionalFormatting>
  <conditionalFormatting sqref="B54:T54">
    <cfRule type="expression" dxfId="178" priority="2">
      <formula>SMSFBranding = "Paramount"</formula>
    </cfRule>
    <cfRule type="expression" dxfId="184" priority="18">
      <formula>OR(SMSFBranding = "AFG")</formula>
    </cfRule>
    <cfRule type="expression" dxfId="183" priority="29">
      <formula>OR(SMSFBranding = "Con")</formula>
    </cfRule>
    <cfRule type="expression" dxfId="182" priority="30">
      <formula>SMSFBranding = "RM"</formula>
    </cfRule>
    <cfRule type="expression" dxfId="181" priority="31">
      <formula>OR(SMSFBranding="PLANExcel", SMSFBranding="PLANEdge")</formula>
    </cfRule>
    <cfRule type="expression" dxfId="180" priority="32">
      <formula>OR(SMSFBranding="FastExcel", SMSFBranding="FastEdge")</formula>
    </cfRule>
    <cfRule type="expression" dxfId="179" priority="33">
      <formula>OR(SMSFBranding="ChoiceExcel", SMSFBranding="ChoiceEdge")</formula>
    </cfRule>
  </conditionalFormatting>
  <conditionalFormatting sqref="P2:T2">
    <cfRule type="expression" dxfId="177" priority="26">
      <formula>OR(SMSFBranding="PLANExcel", SMSFBranding="PLANEdge")</formula>
    </cfRule>
    <cfRule type="expression" dxfId="176" priority="27">
      <formula>OR(SMSFBranding="FastExcel", SMSFBranding="FastEdge")</formula>
    </cfRule>
    <cfRule type="expression" dxfId="175" priority="28">
      <formula>OR(SMSFBranding="ChoiceExcel", SMSFBranding="ChoiceEdge")</formula>
    </cfRule>
  </conditionalFormatting>
  <conditionalFormatting sqref="J2:T2 B18:T18 C20:G20 K20:S20 C29:G29 C32:G32 B36:T36 K38:P38 C38:G38 C47:G47 K47:S47 B54:T54">
    <cfRule type="expression" dxfId="166" priority="1">
      <formula>OR(SMSFBranding = "YBR", )</formula>
    </cfRule>
    <cfRule type="expression" dxfId="167" priority="3">
      <formula>SMSFBranding = "Paramount"</formula>
    </cfRule>
    <cfRule type="expression" dxfId="174" priority="4">
      <formula>OR(SMSFBranding = "Thrive", )</formula>
    </cfRule>
    <cfRule type="expression" dxfId="173" priority="7">
      <formula>OR(SMSFBranding = "RM", )</formula>
    </cfRule>
    <cfRule type="expression" dxfId="172" priority="8">
      <formula>OR(SMSFBranding = "Go Beyond", )</formula>
    </cfRule>
    <cfRule type="expression" dxfId="171" priority="9">
      <formula>OR(SMSFBranding = "AFG", )</formula>
    </cfRule>
    <cfRule type="expression" dxfId="170" priority="23">
      <formula>OR(SMSFBranding = "AFG Align", )</formula>
    </cfRule>
    <cfRule type="expression" dxfId="169" priority="24">
      <formula>OR(SMSFBranding = "Con")</formula>
    </cfRule>
    <cfRule type="expression" dxfId="168" priority="25">
      <formula>SMSFBranding = "RM"</formula>
    </cfRule>
  </conditionalFormatting>
  <conditionalFormatting sqref="M65">
    <cfRule type="cellIs" dxfId="165" priority="5" operator="equal">
      <formula>"Fail"</formula>
    </cfRule>
    <cfRule type="cellIs" dxfId="164" priority="6" operator="equal">
      <formula>"Accept"</formula>
    </cfRule>
  </conditionalFormatting>
  <dataValidations count="4">
    <dataValidation type="list" allowBlank="1" showInputMessage="1" showErrorMessage="1" sqref="M39:M45 M48:M53" xr:uid="{BF4A9A0E-0AF3-47C8-BAD1-1038DFE6A678}">
      <formula1>"Commercial, Residential"</formula1>
    </dataValidation>
    <dataValidation type="list" allowBlank="1" showInputMessage="1" showErrorMessage="1" sqref="P53" xr:uid="{0330E603-AD5A-4A18-919B-D1196CDC592B}">
      <formula1>INDIRECT(N53)</formula1>
    </dataValidation>
    <dataValidation type="list" allowBlank="1" showInputMessage="1" showErrorMessage="1" sqref="O48:O52" xr:uid="{965EA045-7F6B-4928-A66C-B17FF7850721}">
      <formula1>INDIRECT(N48)</formula1>
    </dataValidation>
    <dataValidation type="list" allowBlank="1" showInputMessage="1" showErrorMessage="1" sqref="N48:N52" xr:uid="{E2F7AEB2-D29F-47C3-8BD1-03708B7B54C2}">
      <formula1>$Z$97:$AB$97</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0984-FA19-4DA1-9202-E8D9F0D5AF09}">
  <sheetPr codeName="Sheet4">
    <tabColor theme="1"/>
    <pageSetUpPr fitToPage="1"/>
  </sheetPr>
  <dimension ref="A1:AA150"/>
  <sheetViews>
    <sheetView showGridLines="0" showRowColHeaders="0" workbookViewId="0">
      <selection activeCell="A5" sqref="A5"/>
    </sheetView>
  </sheetViews>
  <sheetFormatPr defaultColWidth="9.140625" defaultRowHeight="12.75" x14ac:dyDescent="0.2"/>
  <cols>
    <col min="1" max="1" width="4.42578125" style="185" customWidth="1"/>
    <col min="2" max="2" width="7.7109375" style="185" customWidth="1"/>
    <col min="3" max="3" width="7.42578125" style="185" customWidth="1"/>
    <col min="4" max="4" width="6.42578125" style="185" customWidth="1"/>
    <col min="5" max="5" width="5" style="185" customWidth="1"/>
    <col min="6" max="6" width="0.85546875" style="185" customWidth="1"/>
    <col min="7" max="7" width="11.7109375" style="185" customWidth="1"/>
    <col min="8" max="8" width="7.7109375" style="185" customWidth="1"/>
    <col min="9" max="9" width="4.28515625" style="185" customWidth="1"/>
    <col min="10" max="10" width="11.7109375" style="185" customWidth="1"/>
    <col min="11" max="11" width="7.7109375" style="185" customWidth="1"/>
    <col min="12" max="12" width="4.28515625" style="185" customWidth="1"/>
    <col min="13" max="13" width="9" style="185" customWidth="1"/>
    <col min="14" max="14" width="7.7109375" style="185" customWidth="1"/>
    <col min="15" max="15" width="5.7109375" style="185" customWidth="1"/>
    <col min="16" max="16" width="3.140625" style="185" customWidth="1"/>
    <col min="17" max="17" width="9.140625" style="395"/>
    <col min="18" max="18" width="17.7109375" style="395" customWidth="1"/>
    <col min="19" max="25" width="9.140625" style="395"/>
    <col min="26" max="29" width="0" style="395" hidden="1" customWidth="1"/>
    <col min="30" max="16384" width="9.140625" style="395"/>
  </cols>
  <sheetData>
    <row r="1" spans="1:27" s="185" customFormat="1" ht="33.75" customHeight="1" x14ac:dyDescent="0.2">
      <c r="A1" s="83"/>
      <c r="B1" s="5"/>
      <c r="C1" s="5"/>
      <c r="D1" s="5"/>
      <c r="E1" s="5"/>
      <c r="F1" s="5" t="s">
        <v>0</v>
      </c>
      <c r="G1" s="329" t="s">
        <v>221</v>
      </c>
      <c r="H1" s="5"/>
      <c r="I1" s="5"/>
      <c r="J1" s="5"/>
      <c r="K1" s="5"/>
      <c r="L1" s="5"/>
      <c r="M1" s="5"/>
      <c r="N1" s="5"/>
      <c r="O1" s="330"/>
    </row>
    <row r="2" spans="1:27" s="185" customFormat="1" x14ac:dyDescent="0.2">
      <c r="A2" s="7"/>
      <c r="B2" s="8"/>
      <c r="C2" s="8"/>
      <c r="D2" s="8"/>
      <c r="E2" s="8"/>
      <c r="F2" s="8"/>
      <c r="G2" s="8"/>
      <c r="H2" s="8"/>
      <c r="I2" s="8"/>
      <c r="J2" s="8"/>
      <c r="K2" s="8"/>
      <c r="L2" s="8"/>
      <c r="M2" s="8"/>
      <c r="N2" s="8"/>
      <c r="O2" s="8"/>
    </row>
    <row r="3" spans="1:27" s="185" customFormat="1" ht="14.25" x14ac:dyDescent="0.2">
      <c r="A3" s="14"/>
      <c r="B3" s="4" t="s">
        <v>222</v>
      </c>
      <c r="C3" s="4"/>
      <c r="D3" s="4"/>
      <c r="E3" s="4"/>
      <c r="F3" s="4"/>
      <c r="G3" s="4"/>
      <c r="H3" s="4"/>
      <c r="I3" s="4"/>
      <c r="J3" s="4"/>
      <c r="K3" s="4"/>
      <c r="L3" s="4"/>
      <c r="M3" s="4"/>
      <c r="N3" s="4"/>
      <c r="O3" s="4"/>
      <c r="Z3" s="1" t="s">
        <v>223</v>
      </c>
      <c r="AA3" s="13" t="s">
        <v>0</v>
      </c>
    </row>
    <row r="4" spans="1:27" s="185" customFormat="1" x14ac:dyDescent="0.2">
      <c r="A4" s="19"/>
      <c r="B4" s="20"/>
      <c r="C4" s="20"/>
      <c r="D4" s="20"/>
      <c r="E4" s="20"/>
      <c r="F4" s="20"/>
      <c r="G4" s="20"/>
      <c r="H4" s="20"/>
      <c r="I4" s="20"/>
      <c r="J4" s="20"/>
      <c r="K4" s="20"/>
      <c r="L4" s="20"/>
      <c r="M4" s="20"/>
      <c r="N4" s="20"/>
      <c r="O4" s="20"/>
      <c r="Z4" s="171"/>
      <c r="AA4" s="171"/>
    </row>
    <row r="5" spans="1:27" s="185" customFormat="1" ht="21.75" customHeight="1" x14ac:dyDescent="0.25">
      <c r="A5" s="331"/>
      <c r="B5" s="332"/>
      <c r="C5" s="333"/>
      <c r="D5" s="332"/>
      <c r="E5" s="332"/>
      <c r="F5" s="332"/>
      <c r="G5" s="334" t="s">
        <v>12</v>
      </c>
      <c r="H5" s="332"/>
      <c r="I5" s="332"/>
      <c r="J5" s="332"/>
      <c r="K5" s="332"/>
      <c r="L5" s="332"/>
      <c r="M5" s="332"/>
      <c r="N5" s="332"/>
      <c r="O5" s="335"/>
      <c r="Z5" s="1" t="s">
        <v>7</v>
      </c>
      <c r="AA5" s="18" t="e">
        <f>SMSFVersion</f>
        <v>#REF!</v>
      </c>
    </row>
    <row r="6" spans="1:27" s="342" customFormat="1" ht="18.75" customHeight="1" thickBot="1" x14ac:dyDescent="0.25">
      <c r="A6" s="336"/>
      <c r="B6" s="337" t="s">
        <v>224</v>
      </c>
      <c r="C6" s="338"/>
      <c r="D6" s="338"/>
      <c r="E6" s="338"/>
      <c r="F6" s="338"/>
      <c r="G6" s="338"/>
      <c r="H6" s="338"/>
      <c r="I6" s="338"/>
      <c r="J6" s="339" t="str">
        <f>IF(OR(J7&lt;&gt;0,J9&lt;&gt;0)=TRUE,"Reconcile tenancy inputs"," ")</f>
        <v xml:space="preserve"> </v>
      </c>
      <c r="K6" s="338"/>
      <c r="L6" s="338"/>
      <c r="M6" s="340" t="s">
        <v>225</v>
      </c>
      <c r="N6" s="338"/>
      <c r="O6" s="341"/>
    </row>
    <row r="7" spans="1:27" s="185" customFormat="1" ht="18.75" customHeight="1" thickBot="1" x14ac:dyDescent="0.25">
      <c r="A7" s="343"/>
      <c r="B7" s="344" t="s">
        <v>226</v>
      </c>
      <c r="C7" s="338"/>
      <c r="D7" s="338"/>
      <c r="E7" s="338"/>
      <c r="F7" s="338"/>
      <c r="G7" s="345"/>
      <c r="H7" s="346"/>
      <c r="I7" s="338" t="s">
        <v>227</v>
      </c>
      <c r="J7" s="347">
        <f>IF(G28=0,0,G29)</f>
        <v>0</v>
      </c>
      <c r="K7" s="348" t="s">
        <v>228</v>
      </c>
      <c r="L7" s="338"/>
      <c r="M7" s="349">
        <f>SUMPRODUCT(H13:H27,M13:M27)</f>
        <v>0</v>
      </c>
      <c r="N7" s="338"/>
      <c r="O7" s="341"/>
    </row>
    <row r="8" spans="1:27" s="185" customFormat="1" ht="8.1" customHeight="1" thickBot="1" x14ac:dyDescent="0.25">
      <c r="A8" s="343"/>
      <c r="B8" s="337"/>
      <c r="C8" s="350"/>
      <c r="D8" s="350"/>
      <c r="E8" s="350"/>
      <c r="F8" s="350"/>
      <c r="G8" s="350"/>
      <c r="H8" s="350"/>
      <c r="I8" s="338"/>
      <c r="J8" s="350"/>
      <c r="K8" s="351"/>
      <c r="L8" s="338"/>
      <c r="M8" s="338"/>
      <c r="N8" s="338"/>
      <c r="O8" s="352"/>
    </row>
    <row r="9" spans="1:27" s="185" customFormat="1" ht="18.75" customHeight="1" thickBot="1" x14ac:dyDescent="0.25">
      <c r="A9" s="343"/>
      <c r="B9" s="344" t="s">
        <v>229</v>
      </c>
      <c r="C9" s="338"/>
      <c r="D9" s="338"/>
      <c r="E9" s="338"/>
      <c r="F9" s="338"/>
      <c r="G9" s="353"/>
      <c r="H9" s="354"/>
      <c r="I9" s="338" t="s">
        <v>230</v>
      </c>
      <c r="J9" s="355">
        <f>IF(J28=0,0,J29)</f>
        <v>0</v>
      </c>
      <c r="K9" s="348" t="s">
        <v>191</v>
      </c>
      <c r="L9" s="338"/>
      <c r="M9" s="349">
        <f>SUMPRODUCT(K13:K27,M13:M27)</f>
        <v>0</v>
      </c>
      <c r="N9" s="338"/>
      <c r="O9" s="352"/>
    </row>
    <row r="10" spans="1:27" s="185" customFormat="1" ht="10.5" customHeight="1" x14ac:dyDescent="0.2">
      <c r="A10" s="343"/>
      <c r="B10" s="337"/>
      <c r="C10" s="350"/>
      <c r="D10" s="350"/>
      <c r="E10" s="350"/>
      <c r="F10" s="350"/>
      <c r="G10" s="350"/>
      <c r="H10" s="350"/>
      <c r="I10" s="338"/>
      <c r="J10" s="350"/>
      <c r="K10" s="350"/>
      <c r="L10" s="338"/>
      <c r="M10" s="338"/>
      <c r="N10" s="338"/>
      <c r="O10" s="352"/>
    </row>
    <row r="11" spans="1:27" s="342" customFormat="1" ht="18.75" customHeight="1" x14ac:dyDescent="0.2">
      <c r="A11" s="336"/>
      <c r="B11" s="337" t="s">
        <v>231</v>
      </c>
      <c r="C11" s="338"/>
      <c r="D11" s="338"/>
      <c r="E11" s="338"/>
      <c r="F11" s="338"/>
      <c r="G11" s="338"/>
      <c r="H11" s="338"/>
      <c r="I11" s="338"/>
      <c r="J11" s="338"/>
      <c r="K11" s="338"/>
      <c r="L11" s="338"/>
      <c r="M11" s="356" t="s">
        <v>232</v>
      </c>
      <c r="N11" s="338"/>
      <c r="O11" s="341"/>
    </row>
    <row r="12" spans="1:27" s="342" customFormat="1" ht="18.75" customHeight="1" thickBot="1" x14ac:dyDescent="0.25">
      <c r="A12" s="357" t="s">
        <v>233</v>
      </c>
      <c r="B12" s="344" t="s">
        <v>234</v>
      </c>
      <c r="C12" s="338"/>
      <c r="D12" s="338"/>
      <c r="E12" s="338"/>
      <c r="F12" s="338"/>
      <c r="G12" s="350" t="s">
        <v>235</v>
      </c>
      <c r="H12" s="358" t="s">
        <v>236</v>
      </c>
      <c r="I12" s="338"/>
      <c r="J12" s="350" t="s">
        <v>237</v>
      </c>
      <c r="K12" s="358" t="s">
        <v>236</v>
      </c>
      <c r="L12" s="338"/>
      <c r="M12" s="350" t="s">
        <v>23</v>
      </c>
      <c r="N12" s="350" t="s">
        <v>238</v>
      </c>
      <c r="O12" s="341"/>
    </row>
    <row r="13" spans="1:27" s="185" customFormat="1" ht="18.75" customHeight="1" thickBot="1" x14ac:dyDescent="0.25">
      <c r="A13" s="359">
        <v>1</v>
      </c>
      <c r="B13" s="360"/>
      <c r="C13" s="360"/>
      <c r="D13" s="360"/>
      <c r="E13" s="360"/>
      <c r="F13" s="338"/>
      <c r="G13" s="361"/>
      <c r="H13" s="362">
        <f>IF(G$28&gt;0,G13/G$28,0)</f>
        <v>0</v>
      </c>
      <c r="I13" s="338"/>
      <c r="J13" s="363"/>
      <c r="K13" s="362">
        <f>IF(J$28&gt;0,J13/J$28,0)</f>
        <v>0</v>
      </c>
      <c r="L13" s="338"/>
      <c r="M13" s="364"/>
      <c r="N13" s="365">
        <f>M13*12</f>
        <v>0</v>
      </c>
      <c r="O13" s="366"/>
    </row>
    <row r="14" spans="1:27" s="185" customFormat="1" ht="18.75" customHeight="1" thickBot="1" x14ac:dyDescent="0.25">
      <c r="A14" s="359">
        <v>2</v>
      </c>
      <c r="B14" s="360"/>
      <c r="C14" s="360"/>
      <c r="D14" s="360"/>
      <c r="E14" s="360"/>
      <c r="F14" s="338"/>
      <c r="G14" s="361"/>
      <c r="H14" s="362">
        <f t="shared" ref="H14:K27" si="0">IF(G$28&gt;0,G14/G$28,0)</f>
        <v>0</v>
      </c>
      <c r="I14" s="338"/>
      <c r="J14" s="363"/>
      <c r="K14" s="362">
        <f t="shared" si="0"/>
        <v>0</v>
      </c>
      <c r="L14" s="338"/>
      <c r="M14" s="364"/>
      <c r="N14" s="365">
        <f t="shared" ref="N14:N27" si="1">M14*12</f>
        <v>0</v>
      </c>
      <c r="O14" s="352"/>
    </row>
    <row r="15" spans="1:27" s="185" customFormat="1" ht="18.75" customHeight="1" thickBot="1" x14ac:dyDescent="0.25">
      <c r="A15" s="359">
        <v>3</v>
      </c>
      <c r="B15" s="360"/>
      <c r="C15" s="360"/>
      <c r="D15" s="360"/>
      <c r="E15" s="360"/>
      <c r="F15" s="338"/>
      <c r="G15" s="361"/>
      <c r="H15" s="362">
        <f t="shared" si="0"/>
        <v>0</v>
      </c>
      <c r="I15" s="338"/>
      <c r="J15" s="363"/>
      <c r="K15" s="362">
        <f t="shared" si="0"/>
        <v>0</v>
      </c>
      <c r="L15" s="338"/>
      <c r="M15" s="364"/>
      <c r="N15" s="365">
        <f t="shared" si="1"/>
        <v>0</v>
      </c>
      <c r="O15" s="352"/>
    </row>
    <row r="16" spans="1:27" s="185" customFormat="1" ht="18.75" customHeight="1" thickBot="1" x14ac:dyDescent="0.25">
      <c r="A16" s="359">
        <v>4</v>
      </c>
      <c r="B16" s="360"/>
      <c r="C16" s="360"/>
      <c r="D16" s="360"/>
      <c r="E16" s="360"/>
      <c r="F16" s="338"/>
      <c r="G16" s="361"/>
      <c r="H16" s="362">
        <f t="shared" si="0"/>
        <v>0</v>
      </c>
      <c r="I16" s="338"/>
      <c r="J16" s="363"/>
      <c r="K16" s="362">
        <f t="shared" si="0"/>
        <v>0</v>
      </c>
      <c r="L16" s="338"/>
      <c r="M16" s="364"/>
      <c r="N16" s="365">
        <f t="shared" si="1"/>
        <v>0</v>
      </c>
      <c r="O16" s="352"/>
    </row>
    <row r="17" spans="1:15" s="185" customFormat="1" ht="18.75" customHeight="1" thickBot="1" x14ac:dyDescent="0.25">
      <c r="A17" s="359">
        <v>5</v>
      </c>
      <c r="B17" s="360"/>
      <c r="C17" s="360"/>
      <c r="D17" s="360"/>
      <c r="E17" s="360"/>
      <c r="F17" s="367"/>
      <c r="G17" s="361"/>
      <c r="H17" s="362">
        <f t="shared" si="0"/>
        <v>0</v>
      </c>
      <c r="I17" s="338"/>
      <c r="J17" s="363"/>
      <c r="K17" s="362">
        <f t="shared" si="0"/>
        <v>0</v>
      </c>
      <c r="L17" s="338"/>
      <c r="M17" s="364"/>
      <c r="N17" s="365">
        <f t="shared" si="1"/>
        <v>0</v>
      </c>
      <c r="O17" s="352"/>
    </row>
    <row r="18" spans="1:15" s="185" customFormat="1" ht="18.75" customHeight="1" thickBot="1" x14ac:dyDescent="0.25">
      <c r="A18" s="359">
        <v>6</v>
      </c>
      <c r="B18" s="360"/>
      <c r="C18" s="360"/>
      <c r="D18" s="360"/>
      <c r="E18" s="360"/>
      <c r="F18" s="368"/>
      <c r="G18" s="361"/>
      <c r="H18" s="362">
        <f t="shared" si="0"/>
        <v>0</v>
      </c>
      <c r="I18" s="338"/>
      <c r="J18" s="363"/>
      <c r="K18" s="362">
        <f t="shared" si="0"/>
        <v>0</v>
      </c>
      <c r="L18" s="338"/>
      <c r="M18" s="364"/>
      <c r="N18" s="365">
        <f t="shared" si="1"/>
        <v>0</v>
      </c>
      <c r="O18" s="352"/>
    </row>
    <row r="19" spans="1:15" s="185" customFormat="1" ht="18.75" customHeight="1" thickBot="1" x14ac:dyDescent="0.25">
      <c r="A19" s="359">
        <v>7</v>
      </c>
      <c r="B19" s="360"/>
      <c r="C19" s="360"/>
      <c r="D19" s="360"/>
      <c r="E19" s="360"/>
      <c r="F19" s="369"/>
      <c r="G19" s="361"/>
      <c r="H19" s="362">
        <f t="shared" si="0"/>
        <v>0</v>
      </c>
      <c r="I19" s="338"/>
      <c r="J19" s="363"/>
      <c r="K19" s="362">
        <f t="shared" si="0"/>
        <v>0</v>
      </c>
      <c r="L19" s="338"/>
      <c r="M19" s="364"/>
      <c r="N19" s="365">
        <f t="shared" si="1"/>
        <v>0</v>
      </c>
      <c r="O19" s="352"/>
    </row>
    <row r="20" spans="1:15" s="185" customFormat="1" ht="18.75" customHeight="1" thickBot="1" x14ac:dyDescent="0.25">
      <c r="A20" s="359">
        <v>8</v>
      </c>
      <c r="B20" s="360"/>
      <c r="C20" s="360"/>
      <c r="D20" s="360"/>
      <c r="E20" s="360"/>
      <c r="F20" s="369"/>
      <c r="G20" s="361"/>
      <c r="H20" s="362">
        <f t="shared" si="0"/>
        <v>0</v>
      </c>
      <c r="I20" s="338"/>
      <c r="J20" s="363"/>
      <c r="K20" s="362">
        <f t="shared" si="0"/>
        <v>0</v>
      </c>
      <c r="L20" s="338"/>
      <c r="M20" s="364"/>
      <c r="N20" s="365">
        <f t="shared" si="1"/>
        <v>0</v>
      </c>
      <c r="O20" s="352"/>
    </row>
    <row r="21" spans="1:15" s="185" customFormat="1" ht="18.75" customHeight="1" thickBot="1" x14ac:dyDescent="0.25">
      <c r="A21" s="359">
        <v>9</v>
      </c>
      <c r="B21" s="360"/>
      <c r="C21" s="360"/>
      <c r="D21" s="360"/>
      <c r="E21" s="360"/>
      <c r="F21" s="369"/>
      <c r="G21" s="361"/>
      <c r="H21" s="362">
        <f t="shared" si="0"/>
        <v>0</v>
      </c>
      <c r="I21" s="338"/>
      <c r="J21" s="363"/>
      <c r="K21" s="362">
        <f t="shared" si="0"/>
        <v>0</v>
      </c>
      <c r="L21" s="338"/>
      <c r="M21" s="364"/>
      <c r="N21" s="365">
        <f t="shared" si="1"/>
        <v>0</v>
      </c>
      <c r="O21" s="352"/>
    </row>
    <row r="22" spans="1:15" s="185" customFormat="1" ht="18.75" customHeight="1" thickBot="1" x14ac:dyDescent="0.25">
      <c r="A22" s="359">
        <v>10</v>
      </c>
      <c r="B22" s="360"/>
      <c r="C22" s="360"/>
      <c r="D22" s="360"/>
      <c r="E22" s="360"/>
      <c r="F22" s="369"/>
      <c r="G22" s="361"/>
      <c r="H22" s="362">
        <f t="shared" si="0"/>
        <v>0</v>
      </c>
      <c r="I22" s="338"/>
      <c r="J22" s="363"/>
      <c r="K22" s="362">
        <f t="shared" si="0"/>
        <v>0</v>
      </c>
      <c r="L22" s="338"/>
      <c r="M22" s="364"/>
      <c r="N22" s="365">
        <f t="shared" si="1"/>
        <v>0</v>
      </c>
      <c r="O22" s="352"/>
    </row>
    <row r="23" spans="1:15" s="185" customFormat="1" ht="18.75" customHeight="1" thickBot="1" x14ac:dyDescent="0.25">
      <c r="A23" s="359">
        <v>11</v>
      </c>
      <c r="B23" s="360"/>
      <c r="C23" s="360"/>
      <c r="D23" s="360"/>
      <c r="E23" s="360"/>
      <c r="F23" s="369"/>
      <c r="G23" s="361"/>
      <c r="H23" s="362">
        <f t="shared" si="0"/>
        <v>0</v>
      </c>
      <c r="I23" s="338"/>
      <c r="J23" s="363"/>
      <c r="K23" s="362">
        <f t="shared" si="0"/>
        <v>0</v>
      </c>
      <c r="L23" s="338"/>
      <c r="M23" s="364"/>
      <c r="N23" s="365">
        <f t="shared" si="1"/>
        <v>0</v>
      </c>
      <c r="O23" s="352"/>
    </row>
    <row r="24" spans="1:15" s="185" customFormat="1" ht="18.75" customHeight="1" thickBot="1" x14ac:dyDescent="0.25">
      <c r="A24" s="359">
        <v>12</v>
      </c>
      <c r="B24" s="360"/>
      <c r="C24" s="360"/>
      <c r="D24" s="360"/>
      <c r="E24" s="360"/>
      <c r="F24" s="369"/>
      <c r="G24" s="361"/>
      <c r="H24" s="362">
        <f t="shared" si="0"/>
        <v>0</v>
      </c>
      <c r="I24" s="338"/>
      <c r="J24" s="363"/>
      <c r="K24" s="362">
        <f t="shared" si="0"/>
        <v>0</v>
      </c>
      <c r="L24" s="338"/>
      <c r="M24" s="364"/>
      <c r="N24" s="365">
        <f t="shared" si="1"/>
        <v>0</v>
      </c>
      <c r="O24" s="352"/>
    </row>
    <row r="25" spans="1:15" s="185" customFormat="1" ht="18.75" customHeight="1" thickBot="1" x14ac:dyDescent="0.25">
      <c r="A25" s="359">
        <v>13</v>
      </c>
      <c r="B25" s="360"/>
      <c r="C25" s="360"/>
      <c r="D25" s="360"/>
      <c r="E25" s="360"/>
      <c r="F25" s="369"/>
      <c r="G25" s="361"/>
      <c r="H25" s="362">
        <f t="shared" si="0"/>
        <v>0</v>
      </c>
      <c r="I25" s="338"/>
      <c r="J25" s="363"/>
      <c r="K25" s="362">
        <f t="shared" si="0"/>
        <v>0</v>
      </c>
      <c r="L25" s="338"/>
      <c r="M25" s="364"/>
      <c r="N25" s="365">
        <f t="shared" si="1"/>
        <v>0</v>
      </c>
      <c r="O25" s="352"/>
    </row>
    <row r="26" spans="1:15" s="185" customFormat="1" ht="18.75" customHeight="1" thickBot="1" x14ac:dyDescent="0.25">
      <c r="A26" s="359">
        <v>14</v>
      </c>
      <c r="B26" s="360"/>
      <c r="C26" s="360"/>
      <c r="D26" s="360"/>
      <c r="E26" s="360"/>
      <c r="F26" s="369"/>
      <c r="G26" s="361"/>
      <c r="H26" s="362">
        <f t="shared" si="0"/>
        <v>0</v>
      </c>
      <c r="I26" s="338"/>
      <c r="J26" s="363"/>
      <c r="K26" s="362">
        <f t="shared" si="0"/>
        <v>0</v>
      </c>
      <c r="L26" s="338"/>
      <c r="M26" s="364"/>
      <c r="N26" s="365">
        <f t="shared" si="1"/>
        <v>0</v>
      </c>
      <c r="O26" s="352"/>
    </row>
    <row r="27" spans="1:15" s="185" customFormat="1" ht="18.75" customHeight="1" thickBot="1" x14ac:dyDescent="0.25">
      <c r="A27" s="359">
        <v>15</v>
      </c>
      <c r="B27" s="360"/>
      <c r="C27" s="360"/>
      <c r="D27" s="360"/>
      <c r="E27" s="360"/>
      <c r="F27" s="369"/>
      <c r="G27" s="361"/>
      <c r="H27" s="362">
        <f t="shared" si="0"/>
        <v>0</v>
      </c>
      <c r="I27" s="338"/>
      <c r="J27" s="363"/>
      <c r="K27" s="362">
        <f t="shared" si="0"/>
        <v>0</v>
      </c>
      <c r="L27" s="338"/>
      <c r="M27" s="364"/>
      <c r="N27" s="365">
        <f t="shared" si="1"/>
        <v>0</v>
      </c>
      <c r="O27" s="352"/>
    </row>
    <row r="28" spans="1:15" s="185" customFormat="1" ht="18.75" customHeight="1" thickBot="1" x14ac:dyDescent="0.25">
      <c r="A28" s="343"/>
      <c r="B28" s="370"/>
      <c r="C28" s="340"/>
      <c r="D28" s="350"/>
      <c r="E28" s="350"/>
      <c r="F28" s="350"/>
      <c r="G28" s="371">
        <f>SUM(G13:G27)</f>
        <v>0</v>
      </c>
      <c r="H28" s="372">
        <f>SUM(H13:H27)</f>
        <v>0</v>
      </c>
      <c r="I28" s="338"/>
      <c r="J28" s="373">
        <f>SUM(J13:J27)</f>
        <v>0</v>
      </c>
      <c r="K28" s="372">
        <f>SUM(K13:K27)</f>
        <v>0</v>
      </c>
      <c r="L28" s="338"/>
      <c r="M28" s="338"/>
      <c r="N28" s="374"/>
      <c r="O28" s="352"/>
    </row>
    <row r="29" spans="1:15" s="185" customFormat="1" ht="18.75" customHeight="1" x14ac:dyDescent="0.2">
      <c r="A29" s="343"/>
      <c r="B29" s="375"/>
      <c r="C29" s="350"/>
      <c r="D29" s="350"/>
      <c r="E29" s="376" t="str">
        <f>IF(G29&lt;0,"Individual areas short by",IF(G29&gt;0,"Sum of individual areas too much by"," "))</f>
        <v xml:space="preserve"> </v>
      </c>
      <c r="F29" s="350"/>
      <c r="G29" s="347">
        <f>G28-G7</f>
        <v>0</v>
      </c>
      <c r="H29" s="350"/>
      <c r="I29" s="338"/>
      <c r="J29" s="377">
        <f>J28-G9</f>
        <v>0</v>
      </c>
      <c r="K29" s="378" t="str">
        <f>IF(J29&lt;0,"Shortage in Individual Annual Rent",IF(J29&gt;0,"Too much in Individual Annual Rent"," "))</f>
        <v xml:space="preserve"> </v>
      </c>
      <c r="L29" s="338"/>
      <c r="M29" s="338"/>
      <c r="N29" s="379"/>
      <c r="O29" s="352"/>
    </row>
    <row r="30" spans="1:15" s="185" customFormat="1" ht="8.1" customHeight="1" thickBot="1" x14ac:dyDescent="0.25">
      <c r="A30" s="380"/>
      <c r="B30" s="381"/>
      <c r="C30" s="382"/>
      <c r="D30" s="382"/>
      <c r="E30" s="382"/>
      <c r="F30" s="382"/>
      <c r="G30" s="382"/>
      <c r="H30" s="382"/>
      <c r="I30" s="383"/>
      <c r="J30" s="382"/>
      <c r="K30" s="382"/>
      <c r="L30" s="383"/>
      <c r="M30" s="383"/>
      <c r="N30" s="383"/>
      <c r="O30" s="384"/>
    </row>
    <row r="31" spans="1:15" s="185" customFormat="1" ht="13.5" x14ac:dyDescent="0.25">
      <c r="A31" s="385"/>
      <c r="B31" s="386" t="e">
        <f>'SMSF ICR-DSCR Loan Calculator'!AB4</f>
        <v>#REF!</v>
      </c>
      <c r="C31" s="387"/>
      <c r="D31" s="387"/>
      <c r="E31" s="387"/>
      <c r="F31" s="387"/>
      <c r="G31" s="388"/>
      <c r="H31" s="389"/>
      <c r="I31" s="390"/>
      <c r="J31" s="390"/>
      <c r="K31" s="390"/>
      <c r="L31" s="388"/>
      <c r="M31" s="388"/>
      <c r="N31" s="390"/>
      <c r="O31" s="391"/>
    </row>
    <row r="32" spans="1:15" s="185" customFormat="1" ht="11.25" customHeight="1" x14ac:dyDescent="0.2">
      <c r="A32" s="392"/>
      <c r="B32" s="393"/>
      <c r="C32" s="393"/>
      <c r="D32" s="393"/>
      <c r="E32" s="393"/>
      <c r="F32" s="393"/>
      <c r="G32" s="388"/>
      <c r="H32" s="389"/>
      <c r="I32" s="390"/>
      <c r="J32" s="390"/>
      <c r="K32" s="390"/>
      <c r="L32" s="388"/>
      <c r="M32" s="388"/>
      <c r="N32" s="390"/>
      <c r="O32" s="391"/>
    </row>
    <row r="33" spans="1:16" ht="13.5" x14ac:dyDescent="0.25">
      <c r="A33" s="392"/>
      <c r="B33" s="393"/>
      <c r="C33" s="393"/>
      <c r="D33" s="393"/>
      <c r="E33" s="393"/>
      <c r="F33" s="393"/>
      <c r="G33" s="388"/>
      <c r="H33" s="394" t="s">
        <v>239</v>
      </c>
      <c r="I33" s="390"/>
      <c r="J33" s="390"/>
      <c r="K33" s="390"/>
      <c r="L33" s="388"/>
      <c r="M33" s="388"/>
      <c r="N33" s="390"/>
      <c r="O33" s="391"/>
      <c r="P33" s="395"/>
    </row>
    <row r="34" spans="1:16" ht="13.5" x14ac:dyDescent="0.2">
      <c r="A34" s="392"/>
      <c r="B34" s="393"/>
      <c r="C34" s="393"/>
      <c r="D34" s="393"/>
      <c r="E34" s="393"/>
      <c r="F34" s="393"/>
      <c r="G34" s="388"/>
      <c r="H34" s="389" t="s">
        <v>240</v>
      </c>
      <c r="I34" s="390"/>
      <c r="J34" s="390"/>
      <c r="K34" s="390"/>
      <c r="L34" s="388"/>
      <c r="M34" s="388"/>
      <c r="N34" s="390"/>
      <c r="O34" s="391"/>
      <c r="P34" s="395"/>
    </row>
    <row r="35" spans="1:16" ht="13.5" x14ac:dyDescent="0.25">
      <c r="A35" s="392"/>
      <c r="B35" s="393"/>
      <c r="C35" s="393"/>
      <c r="D35" s="393"/>
      <c r="E35" s="393"/>
      <c r="F35" s="393"/>
      <c r="G35" s="388"/>
      <c r="H35" s="394" t="s">
        <v>241</v>
      </c>
      <c r="I35" s="390"/>
      <c r="J35" s="390"/>
      <c r="K35" s="390"/>
      <c r="L35" s="388"/>
      <c r="M35" s="388"/>
      <c r="N35" s="390"/>
      <c r="O35" s="391"/>
      <c r="P35" s="395"/>
    </row>
    <row r="36" spans="1:16" ht="13.5" x14ac:dyDescent="0.25">
      <c r="A36" s="392"/>
      <c r="B36" s="393"/>
      <c r="C36" s="393"/>
      <c r="D36" s="393"/>
      <c r="E36" s="393"/>
      <c r="F36" s="393"/>
      <c r="G36" s="388"/>
      <c r="H36" s="394"/>
      <c r="I36" s="390"/>
      <c r="J36" s="390"/>
      <c r="K36" s="390"/>
      <c r="L36" s="388"/>
      <c r="M36" s="388"/>
      <c r="N36" s="390"/>
      <c r="O36" s="391"/>
      <c r="P36" s="395"/>
    </row>
    <row r="37" spans="1:16" ht="13.5" x14ac:dyDescent="0.25">
      <c r="A37" s="392"/>
      <c r="B37" s="393"/>
      <c r="C37" s="393"/>
      <c r="D37" s="393"/>
      <c r="E37" s="393"/>
      <c r="F37" s="393"/>
      <c r="G37" s="388"/>
      <c r="H37" s="394"/>
      <c r="I37" s="390"/>
      <c r="J37" s="390"/>
      <c r="K37" s="390"/>
      <c r="L37" s="388"/>
      <c r="M37" s="388"/>
      <c r="N37" s="390"/>
      <c r="O37" s="391"/>
      <c r="P37" s="395"/>
    </row>
    <row r="38" spans="1:16" ht="13.5" thickBot="1" x14ac:dyDescent="0.25">
      <c r="A38" s="396"/>
      <c r="B38" s="397"/>
      <c r="C38" s="397"/>
      <c r="D38" s="397"/>
      <c r="E38" s="397"/>
      <c r="F38" s="397"/>
      <c r="G38" s="398"/>
      <c r="H38" s="399"/>
      <c r="I38" s="399"/>
      <c r="J38" s="399"/>
      <c r="K38" s="399"/>
      <c r="L38" s="398"/>
      <c r="M38" s="398"/>
      <c r="N38" s="399"/>
      <c r="O38" s="400"/>
      <c r="P38" s="395"/>
    </row>
    <row r="39" spans="1:16" x14ac:dyDescent="0.2">
      <c r="A39" s="393"/>
      <c r="B39" s="393"/>
      <c r="C39" s="393"/>
      <c r="D39" s="393"/>
      <c r="E39" s="393"/>
      <c r="F39" s="393"/>
      <c r="G39" s="393"/>
      <c r="H39" s="393"/>
      <c r="I39" s="401"/>
      <c r="J39" s="393"/>
      <c r="K39" s="393"/>
      <c r="L39" s="401"/>
      <c r="M39" s="401"/>
      <c r="N39" s="401"/>
      <c r="O39" s="393"/>
    </row>
    <row r="40" spans="1:16" hidden="1" x14ac:dyDescent="0.2">
      <c r="A40" s="393"/>
      <c r="B40" s="393"/>
      <c r="C40" s="393"/>
      <c r="D40" s="393"/>
      <c r="E40" s="393"/>
      <c r="F40" s="393"/>
      <c r="G40" s="393"/>
      <c r="H40" s="393"/>
      <c r="I40" s="401"/>
      <c r="J40" s="393"/>
      <c r="K40" s="393"/>
      <c r="L40" s="401"/>
      <c r="M40" s="401"/>
      <c r="N40" s="401"/>
      <c r="O40" s="393"/>
    </row>
    <row r="41" spans="1:16" hidden="1" x14ac:dyDescent="0.2">
      <c r="A41" s="393"/>
      <c r="B41" s="393"/>
      <c r="C41" s="393"/>
      <c r="D41" s="393"/>
      <c r="E41" s="393"/>
      <c r="F41" s="393"/>
      <c r="G41" s="393"/>
      <c r="H41" s="393"/>
      <c r="I41" s="401"/>
      <c r="J41" s="393"/>
      <c r="K41" s="393"/>
      <c r="L41" s="401"/>
      <c r="M41" s="401"/>
      <c r="N41" s="401"/>
      <c r="O41" s="393"/>
    </row>
    <row r="42" spans="1:16" hidden="1" x14ac:dyDescent="0.2">
      <c r="A42" s="393"/>
      <c r="B42" s="393"/>
      <c r="C42" s="393"/>
      <c r="D42" s="393"/>
      <c r="E42" s="393"/>
      <c r="F42" s="393"/>
      <c r="G42" s="393"/>
      <c r="H42" s="393"/>
      <c r="I42" s="401"/>
      <c r="J42" s="393"/>
      <c r="K42" s="393"/>
      <c r="L42" s="401"/>
      <c r="M42" s="401"/>
      <c r="N42" s="401"/>
      <c r="O42" s="393"/>
    </row>
    <row r="43" spans="1:16" hidden="1" x14ac:dyDescent="0.2">
      <c r="A43" s="393"/>
      <c r="B43" s="393"/>
      <c r="C43" s="393"/>
      <c r="D43" s="393"/>
      <c r="E43" s="393"/>
      <c r="F43" s="393"/>
      <c r="G43" s="393"/>
      <c r="H43" s="393"/>
      <c r="I43" s="401"/>
      <c r="J43" s="393"/>
      <c r="K43" s="393"/>
      <c r="L43" s="401"/>
      <c r="M43" s="401"/>
      <c r="N43" s="401"/>
      <c r="O43" s="393"/>
    </row>
    <row r="44" spans="1:16" hidden="1" x14ac:dyDescent="0.2">
      <c r="A44" s="393"/>
      <c r="B44" s="393"/>
      <c r="C44" s="393"/>
      <c r="D44" s="393"/>
      <c r="E44" s="393"/>
      <c r="F44" s="393"/>
      <c r="G44" s="393"/>
      <c r="H44" s="393"/>
      <c r="I44" s="401"/>
      <c r="J44" s="393"/>
      <c r="K44" s="393"/>
      <c r="L44" s="401"/>
      <c r="M44" s="401"/>
      <c r="N44" s="401"/>
      <c r="O44" s="393"/>
    </row>
    <row r="45" spans="1:16" hidden="1" x14ac:dyDescent="0.2">
      <c r="A45" s="393"/>
      <c r="B45" s="393"/>
      <c r="C45" s="393"/>
      <c r="D45" s="393"/>
      <c r="E45" s="393"/>
      <c r="F45" s="393"/>
      <c r="G45" s="393"/>
      <c r="H45" s="393"/>
      <c r="I45" s="401"/>
      <c r="J45" s="393"/>
      <c r="K45" s="393"/>
      <c r="L45" s="401"/>
      <c r="M45" s="401"/>
      <c r="N45" s="401"/>
      <c r="O45" s="393"/>
    </row>
    <row r="46" spans="1:16" hidden="1" x14ac:dyDescent="0.2">
      <c r="A46" s="393"/>
      <c r="B46" s="393"/>
      <c r="C46" s="393"/>
      <c r="D46" s="393"/>
      <c r="E46" s="393"/>
      <c r="F46" s="393"/>
      <c r="G46" s="393"/>
      <c r="H46" s="393"/>
      <c r="I46" s="401"/>
      <c r="J46" s="393"/>
      <c r="K46" s="393"/>
      <c r="L46" s="401"/>
      <c r="M46" s="401"/>
      <c r="N46" s="401"/>
      <c r="O46" s="393"/>
    </row>
    <row r="47" spans="1:16" hidden="1" x14ac:dyDescent="0.2">
      <c r="A47" s="393"/>
      <c r="B47" s="393"/>
      <c r="C47" s="393"/>
      <c r="D47" s="393"/>
      <c r="E47" s="393"/>
      <c r="F47" s="393"/>
      <c r="G47" s="393"/>
      <c r="H47" s="393"/>
      <c r="I47" s="401"/>
      <c r="J47" s="393"/>
      <c r="K47" s="393"/>
      <c r="L47" s="401"/>
      <c r="M47" s="401"/>
      <c r="N47" s="401"/>
      <c r="O47" s="393"/>
    </row>
    <row r="48" spans="1:16" hidden="1" x14ac:dyDescent="0.2">
      <c r="A48" s="393"/>
      <c r="B48" s="393"/>
      <c r="C48" s="393"/>
      <c r="D48" s="393"/>
      <c r="E48" s="393"/>
      <c r="F48" s="393"/>
      <c r="G48" s="393"/>
      <c r="H48" s="393"/>
      <c r="I48" s="401"/>
      <c r="J48" s="393"/>
      <c r="K48" s="393"/>
      <c r="L48" s="401"/>
      <c r="M48" s="401"/>
      <c r="N48" s="401"/>
      <c r="O48" s="393"/>
    </row>
    <row r="49" spans="1:15" hidden="1" x14ac:dyDescent="0.2">
      <c r="A49" s="393"/>
      <c r="B49" s="393"/>
      <c r="C49" s="393"/>
      <c r="D49" s="393"/>
      <c r="E49" s="393"/>
      <c r="F49" s="393"/>
      <c r="G49" s="393"/>
      <c r="H49" s="393"/>
      <c r="I49" s="401"/>
      <c r="J49" s="393"/>
      <c r="K49" s="393"/>
      <c r="L49" s="401"/>
      <c r="M49" s="401"/>
      <c r="N49" s="401"/>
      <c r="O49" s="393"/>
    </row>
    <row r="50" spans="1:15" hidden="1" x14ac:dyDescent="0.2">
      <c r="A50" s="393"/>
      <c r="B50" s="393"/>
      <c r="C50" s="393"/>
      <c r="D50" s="393"/>
      <c r="E50" s="393"/>
      <c r="F50" s="393"/>
      <c r="G50" s="393"/>
      <c r="H50" s="393"/>
      <c r="I50" s="401"/>
      <c r="J50" s="393"/>
      <c r="K50" s="393"/>
      <c r="L50" s="401"/>
      <c r="M50" s="401"/>
      <c r="N50" s="401"/>
      <c r="O50" s="393"/>
    </row>
    <row r="51" spans="1:15" hidden="1" x14ac:dyDescent="0.2">
      <c r="A51" s="393"/>
      <c r="B51" s="393"/>
      <c r="C51" s="393"/>
      <c r="D51" s="393"/>
      <c r="E51" s="393"/>
      <c r="F51" s="393"/>
      <c r="G51" s="393"/>
      <c r="H51" s="393"/>
      <c r="I51" s="401"/>
      <c r="J51" s="393"/>
      <c r="K51" s="393"/>
      <c r="L51" s="401"/>
      <c r="M51" s="401"/>
      <c r="N51" s="401"/>
      <c r="O51" s="393"/>
    </row>
    <row r="52" spans="1:15" hidden="1" x14ac:dyDescent="0.2">
      <c r="A52" s="393"/>
      <c r="B52" s="393"/>
      <c r="C52" s="393"/>
      <c r="D52" s="393"/>
      <c r="E52" s="393"/>
      <c r="F52" s="393"/>
      <c r="G52" s="393"/>
      <c r="H52" s="393"/>
      <c r="I52" s="401"/>
      <c r="J52" s="393"/>
      <c r="K52" s="393"/>
      <c r="L52" s="401"/>
      <c r="M52" s="401"/>
      <c r="N52" s="401"/>
      <c r="O52" s="393"/>
    </row>
    <row r="53" spans="1:15" hidden="1" x14ac:dyDescent="0.2">
      <c r="A53" s="393"/>
      <c r="B53" s="393"/>
      <c r="C53" s="393"/>
      <c r="D53" s="393"/>
      <c r="E53" s="393"/>
      <c r="F53" s="393"/>
      <c r="G53" s="393"/>
      <c r="H53" s="393"/>
      <c r="I53" s="401"/>
      <c r="J53" s="393"/>
      <c r="K53" s="393"/>
      <c r="L53" s="401"/>
      <c r="M53" s="401"/>
      <c r="N53" s="401"/>
      <c r="O53" s="393"/>
    </row>
    <row r="54" spans="1:15" hidden="1" x14ac:dyDescent="0.2">
      <c r="A54" s="393"/>
      <c r="B54" s="393"/>
      <c r="C54" s="393"/>
      <c r="D54" s="393"/>
      <c r="E54" s="393"/>
      <c r="F54" s="393"/>
      <c r="G54" s="393"/>
      <c r="H54" s="393"/>
      <c r="I54" s="401"/>
      <c r="J54" s="393"/>
      <c r="K54" s="393"/>
      <c r="L54" s="401"/>
      <c r="M54" s="401"/>
      <c r="N54" s="401"/>
      <c r="O54" s="393"/>
    </row>
    <row r="55" spans="1:15" hidden="1" x14ac:dyDescent="0.2">
      <c r="A55" s="393"/>
      <c r="B55" s="393"/>
      <c r="C55" s="393"/>
      <c r="D55" s="393"/>
      <c r="E55" s="393"/>
      <c r="F55" s="393"/>
      <c r="G55" s="393"/>
      <c r="H55" s="393"/>
      <c r="I55" s="401"/>
      <c r="J55" s="393"/>
      <c r="K55" s="393"/>
      <c r="L55" s="401"/>
      <c r="M55" s="401"/>
      <c r="N55" s="401"/>
      <c r="O55" s="393"/>
    </row>
    <row r="56" spans="1:15" hidden="1" x14ac:dyDescent="0.2">
      <c r="A56" s="393"/>
      <c r="B56" s="393"/>
      <c r="C56" s="393"/>
      <c r="D56" s="393"/>
      <c r="E56" s="393"/>
      <c r="F56" s="393"/>
      <c r="G56" s="393"/>
      <c r="H56" s="393"/>
      <c r="I56" s="401"/>
      <c r="J56" s="393"/>
      <c r="K56" s="393"/>
      <c r="L56" s="401"/>
      <c r="M56" s="401"/>
      <c r="N56" s="401"/>
      <c r="O56" s="393"/>
    </row>
    <row r="57" spans="1:15" hidden="1" x14ac:dyDescent="0.2">
      <c r="A57" s="393"/>
      <c r="B57" s="393"/>
      <c r="C57" s="393"/>
      <c r="D57" s="393"/>
      <c r="E57" s="393"/>
      <c r="F57" s="393"/>
      <c r="G57" s="393"/>
      <c r="H57" s="393"/>
      <c r="I57" s="402"/>
      <c r="J57" s="393"/>
      <c r="K57" s="393"/>
      <c r="L57" s="402"/>
      <c r="M57" s="401"/>
      <c r="N57" s="401"/>
      <c r="O57" s="393"/>
    </row>
    <row r="58" spans="1:15" hidden="1" x14ac:dyDescent="0.2">
      <c r="A58" s="393"/>
      <c r="B58" s="403"/>
      <c r="C58" s="393"/>
      <c r="D58" s="393"/>
      <c r="E58" s="393"/>
      <c r="F58" s="393"/>
      <c r="G58" s="393"/>
      <c r="H58" s="393"/>
      <c r="I58" s="402"/>
      <c r="J58" s="393"/>
      <c r="K58" s="393"/>
      <c r="L58" s="402"/>
      <c r="M58" s="401"/>
      <c r="N58" s="401"/>
      <c r="O58" s="393"/>
    </row>
    <row r="59" spans="1:15" hidden="1" x14ac:dyDescent="0.2">
      <c r="A59" s="393"/>
      <c r="B59" s="403"/>
      <c r="C59" s="393"/>
      <c r="D59" s="393"/>
      <c r="E59" s="393"/>
      <c r="F59" s="393"/>
      <c r="G59" s="393"/>
      <c r="H59" s="393"/>
      <c r="I59" s="401"/>
      <c r="J59" s="393"/>
      <c r="K59" s="393"/>
      <c r="L59" s="401"/>
      <c r="M59" s="401"/>
      <c r="N59" s="401"/>
      <c r="O59" s="393"/>
    </row>
    <row r="60" spans="1:15" hidden="1" x14ac:dyDescent="0.2">
      <c r="A60" s="393"/>
      <c r="B60" s="403"/>
      <c r="C60" s="393"/>
      <c r="D60" s="393"/>
      <c r="E60" s="393"/>
      <c r="F60" s="393"/>
      <c r="G60" s="393"/>
      <c r="H60" s="393"/>
      <c r="I60" s="401"/>
      <c r="J60" s="393"/>
      <c r="K60" s="393"/>
      <c r="L60" s="401"/>
      <c r="M60" s="401"/>
      <c r="N60" s="401"/>
      <c r="O60" s="393"/>
    </row>
    <row r="61" spans="1:15" hidden="1" x14ac:dyDescent="0.2">
      <c r="A61" s="393"/>
      <c r="B61" s="403"/>
      <c r="C61" s="393"/>
      <c r="D61" s="393"/>
      <c r="E61" s="393"/>
      <c r="F61" s="393"/>
      <c r="G61" s="393"/>
      <c r="H61" s="393"/>
      <c r="I61" s="401"/>
      <c r="J61" s="393"/>
      <c r="K61" s="393"/>
      <c r="L61" s="401"/>
      <c r="M61" s="401"/>
      <c r="N61" s="401"/>
      <c r="O61" s="393"/>
    </row>
    <row r="62" spans="1:15" hidden="1" x14ac:dyDescent="0.2">
      <c r="A62" s="393"/>
      <c r="B62" s="403"/>
      <c r="C62" s="393"/>
      <c r="D62" s="393"/>
      <c r="E62" s="393"/>
      <c r="F62" s="393"/>
      <c r="G62" s="393"/>
      <c r="H62" s="393"/>
      <c r="I62" s="401"/>
      <c r="J62" s="393"/>
      <c r="K62" s="393"/>
      <c r="L62" s="401"/>
      <c r="M62" s="401"/>
      <c r="N62" s="401"/>
      <c r="O62" s="393"/>
    </row>
    <row r="63" spans="1:15" hidden="1" x14ac:dyDescent="0.2">
      <c r="A63" s="393"/>
      <c r="B63" s="404"/>
      <c r="C63" s="393"/>
      <c r="D63" s="393"/>
      <c r="E63" s="393"/>
      <c r="F63" s="393"/>
      <c r="G63" s="393"/>
      <c r="H63" s="393"/>
      <c r="I63" s="401"/>
      <c r="J63" s="393"/>
      <c r="K63" s="393"/>
      <c r="L63" s="401"/>
      <c r="M63" s="401"/>
      <c r="N63" s="401"/>
      <c r="O63" s="393"/>
    </row>
    <row r="64" spans="1:15" hidden="1" x14ac:dyDescent="0.2">
      <c r="A64" s="393"/>
      <c r="B64" s="403"/>
      <c r="C64" s="393"/>
      <c r="D64" s="393"/>
      <c r="E64" s="403"/>
      <c r="F64" s="403"/>
      <c r="G64" s="403"/>
      <c r="H64" s="403"/>
      <c r="I64" s="401"/>
      <c r="J64" s="403"/>
      <c r="K64" s="403"/>
      <c r="L64" s="401"/>
      <c r="M64" s="401"/>
      <c r="N64" s="401"/>
      <c r="O64" s="393"/>
    </row>
    <row r="65" spans="1:15" hidden="1" x14ac:dyDescent="0.2">
      <c r="A65" s="393"/>
      <c r="B65" s="403"/>
      <c r="C65" s="393"/>
      <c r="D65" s="393"/>
      <c r="E65" s="403"/>
      <c r="F65" s="403"/>
      <c r="G65" s="403"/>
      <c r="H65" s="403"/>
      <c r="I65" s="401"/>
      <c r="J65" s="403"/>
      <c r="K65" s="403"/>
      <c r="L65" s="401"/>
      <c r="M65" s="401"/>
      <c r="N65" s="401"/>
      <c r="O65" s="393"/>
    </row>
    <row r="66" spans="1:15" hidden="1" x14ac:dyDescent="0.2">
      <c r="A66" s="393"/>
      <c r="B66" s="403"/>
      <c r="C66" s="393"/>
      <c r="D66" s="393"/>
      <c r="E66" s="403"/>
      <c r="F66" s="403"/>
      <c r="G66" s="403"/>
      <c r="H66" s="403"/>
      <c r="I66" s="401"/>
      <c r="J66" s="403"/>
      <c r="K66" s="403"/>
      <c r="L66" s="401"/>
      <c r="M66" s="401"/>
      <c r="N66" s="401"/>
      <c r="O66" s="393"/>
    </row>
    <row r="67" spans="1:15" hidden="1" x14ac:dyDescent="0.2">
      <c r="A67" s="393"/>
      <c r="B67" s="403"/>
      <c r="C67" s="393"/>
      <c r="D67" s="393"/>
      <c r="E67" s="403"/>
      <c r="F67" s="403"/>
      <c r="G67" s="403"/>
      <c r="H67" s="403"/>
      <c r="I67" s="401"/>
      <c r="J67" s="403"/>
      <c r="K67" s="403"/>
      <c r="L67" s="401"/>
      <c r="M67" s="401"/>
      <c r="N67" s="401"/>
      <c r="O67" s="393"/>
    </row>
    <row r="68" spans="1:15" hidden="1" x14ac:dyDescent="0.2">
      <c r="A68" s="393"/>
      <c r="B68" s="403"/>
      <c r="C68" s="393"/>
      <c r="D68" s="393"/>
      <c r="E68" s="403"/>
      <c r="F68" s="403"/>
      <c r="G68" s="403"/>
      <c r="H68" s="403"/>
      <c r="I68" s="393"/>
      <c r="J68" s="403"/>
      <c r="K68" s="403"/>
      <c r="L68" s="393"/>
      <c r="M68" s="393"/>
      <c r="N68" s="393"/>
      <c r="O68" s="393"/>
    </row>
    <row r="69" spans="1:15" hidden="1" x14ac:dyDescent="0.2">
      <c r="A69" s="393"/>
      <c r="B69" s="403"/>
      <c r="C69" s="393"/>
      <c r="D69" s="393"/>
      <c r="E69" s="403"/>
      <c r="F69" s="403"/>
      <c r="G69" s="403"/>
      <c r="H69" s="403"/>
      <c r="I69" s="393"/>
      <c r="J69" s="403"/>
      <c r="K69" s="403"/>
      <c r="L69" s="393"/>
      <c r="M69" s="393"/>
      <c r="N69" s="393"/>
      <c r="O69" s="393"/>
    </row>
    <row r="70" spans="1:15" hidden="1" x14ac:dyDescent="0.2">
      <c r="A70" s="393"/>
      <c r="B70" s="403"/>
      <c r="C70" s="393"/>
      <c r="D70" s="393"/>
      <c r="E70" s="403"/>
      <c r="F70" s="403"/>
      <c r="G70" s="403"/>
      <c r="H70" s="403"/>
      <c r="I70" s="393"/>
      <c r="J70" s="403"/>
      <c r="K70" s="403"/>
      <c r="L70" s="393"/>
      <c r="M70" s="393"/>
      <c r="N70" s="393"/>
      <c r="O70" s="393"/>
    </row>
    <row r="71" spans="1:15" hidden="1" x14ac:dyDescent="0.2">
      <c r="A71" s="393"/>
      <c r="B71" s="403"/>
      <c r="C71" s="393"/>
      <c r="D71" s="393"/>
      <c r="E71" s="403"/>
      <c r="F71" s="403"/>
      <c r="G71" s="405"/>
      <c r="H71" s="405"/>
      <c r="I71" s="393"/>
      <c r="J71" s="405"/>
      <c r="K71" s="405"/>
      <c r="L71" s="393"/>
      <c r="M71" s="393"/>
      <c r="N71" s="393"/>
      <c r="O71" s="393"/>
    </row>
    <row r="72" spans="1:15" hidden="1" x14ac:dyDescent="0.2">
      <c r="A72" s="393"/>
      <c r="E72" s="404"/>
      <c r="F72" s="404"/>
      <c r="G72" s="404"/>
      <c r="H72" s="404"/>
      <c r="I72" s="393"/>
      <c r="J72" s="404"/>
      <c r="K72" s="404"/>
      <c r="L72" s="393"/>
      <c r="M72" s="393"/>
      <c r="N72" s="393"/>
      <c r="O72" s="393"/>
    </row>
    <row r="73" spans="1:15" hidden="1" x14ac:dyDescent="0.2">
      <c r="A73" s="393"/>
      <c r="B73" s="406"/>
      <c r="C73" s="407"/>
      <c r="D73" s="407"/>
      <c r="E73" s="406"/>
      <c r="F73" s="406"/>
      <c r="G73" s="406"/>
      <c r="H73" s="403"/>
      <c r="I73" s="393"/>
      <c r="J73" s="406"/>
      <c r="K73" s="403"/>
      <c r="L73" s="393"/>
      <c r="M73" s="393"/>
      <c r="N73" s="393"/>
      <c r="O73" s="393"/>
    </row>
    <row r="74" spans="1:15" hidden="1" x14ac:dyDescent="0.2">
      <c r="A74" s="393"/>
      <c r="B74" s="403"/>
      <c r="C74" s="393"/>
      <c r="D74" s="393"/>
      <c r="E74" s="403"/>
      <c r="F74" s="403"/>
      <c r="G74" s="403"/>
      <c r="H74" s="403"/>
      <c r="I74" s="393"/>
      <c r="J74" s="403"/>
      <c r="K74" s="403"/>
      <c r="L74" s="393"/>
      <c r="M74" s="393"/>
      <c r="N74" s="393"/>
      <c r="O74" s="393"/>
    </row>
    <row r="75" spans="1:15" hidden="1" x14ac:dyDescent="0.2">
      <c r="A75" s="393"/>
      <c r="B75" s="403"/>
      <c r="C75" s="393"/>
      <c r="D75" s="393"/>
      <c r="E75" s="403"/>
      <c r="F75" s="403"/>
      <c r="G75" s="403"/>
      <c r="H75" s="403"/>
      <c r="I75" s="393"/>
      <c r="J75" s="403"/>
      <c r="K75" s="403"/>
      <c r="L75" s="393"/>
      <c r="M75" s="393"/>
      <c r="N75" s="393"/>
      <c r="O75" s="393"/>
    </row>
    <row r="76" spans="1:15" hidden="1" x14ac:dyDescent="0.2">
      <c r="A76" s="393"/>
      <c r="I76" s="393"/>
      <c r="L76" s="393"/>
      <c r="M76" s="393"/>
      <c r="N76" s="393"/>
      <c r="O76" s="393"/>
    </row>
    <row r="77" spans="1:15" hidden="1" x14ac:dyDescent="0.2">
      <c r="A77" s="393"/>
      <c r="I77" s="393"/>
      <c r="L77" s="393"/>
      <c r="M77" s="393"/>
      <c r="N77" s="393"/>
      <c r="O77" s="393"/>
    </row>
    <row r="78" spans="1:15" hidden="1" x14ac:dyDescent="0.2">
      <c r="A78" s="393"/>
      <c r="B78" s="403"/>
      <c r="C78" s="393"/>
      <c r="D78" s="393"/>
      <c r="E78" s="403"/>
      <c r="F78" s="403"/>
      <c r="G78" s="403"/>
      <c r="H78" s="403"/>
      <c r="I78" s="393"/>
      <c r="J78" s="403"/>
      <c r="K78" s="403"/>
      <c r="L78" s="393"/>
      <c r="M78" s="393"/>
      <c r="N78" s="393"/>
      <c r="O78" s="393"/>
    </row>
    <row r="79" spans="1:15" hidden="1" x14ac:dyDescent="0.2">
      <c r="A79" s="393"/>
      <c r="B79" s="393"/>
      <c r="C79" s="393"/>
      <c r="D79" s="393"/>
      <c r="E79" s="403"/>
      <c r="F79" s="403"/>
      <c r="G79" s="405"/>
      <c r="H79" s="405"/>
      <c r="I79" s="393"/>
      <c r="J79" s="405"/>
      <c r="K79" s="405"/>
      <c r="L79" s="393"/>
      <c r="M79" s="393"/>
      <c r="N79" s="393"/>
      <c r="O79" s="393"/>
    </row>
    <row r="80" spans="1:15" hidden="1" x14ac:dyDescent="0.2">
      <c r="A80" s="393"/>
      <c r="B80" s="393"/>
      <c r="C80" s="393"/>
      <c r="D80" s="393"/>
      <c r="E80" s="393"/>
      <c r="F80" s="393"/>
      <c r="G80" s="393"/>
      <c r="H80" s="393"/>
      <c r="I80" s="393"/>
      <c r="J80" s="393"/>
      <c r="K80" s="393"/>
      <c r="L80" s="393"/>
      <c r="M80" s="393"/>
      <c r="N80" s="393"/>
      <c r="O80" s="393"/>
    </row>
    <row r="81" spans="1:15" hidden="1" x14ac:dyDescent="0.2">
      <c r="A81" s="393"/>
      <c r="B81" s="393"/>
      <c r="C81" s="393"/>
      <c r="D81" s="393"/>
      <c r="E81" s="393"/>
      <c r="F81" s="393"/>
      <c r="G81" s="393"/>
      <c r="H81" s="393"/>
      <c r="I81" s="393"/>
      <c r="J81" s="393"/>
      <c r="K81" s="393"/>
      <c r="L81" s="393"/>
      <c r="M81" s="393"/>
      <c r="N81" s="393"/>
      <c r="O81" s="393"/>
    </row>
    <row r="82" spans="1:15" hidden="1" x14ac:dyDescent="0.2">
      <c r="A82" s="393"/>
      <c r="B82" s="393"/>
      <c r="C82" s="393"/>
      <c r="D82" s="393"/>
      <c r="E82" s="393"/>
      <c r="F82" s="393"/>
      <c r="G82" s="393"/>
      <c r="H82" s="393"/>
      <c r="I82" s="393"/>
      <c r="J82" s="393"/>
      <c r="K82" s="393"/>
      <c r="L82" s="393"/>
      <c r="M82" s="393"/>
      <c r="N82" s="393"/>
      <c r="O82" s="393"/>
    </row>
    <row r="83" spans="1:15" hidden="1" x14ac:dyDescent="0.2">
      <c r="A83" s="393"/>
      <c r="B83" s="393"/>
      <c r="C83" s="393"/>
      <c r="D83" s="393"/>
      <c r="E83" s="393"/>
      <c r="F83" s="393"/>
      <c r="G83" s="393"/>
      <c r="H83" s="393"/>
      <c r="I83" s="393"/>
      <c r="J83" s="393"/>
      <c r="K83" s="393"/>
      <c r="L83" s="393"/>
      <c r="M83" s="393"/>
      <c r="N83" s="393"/>
      <c r="O83" s="393"/>
    </row>
    <row r="84" spans="1:15" hidden="1" x14ac:dyDescent="0.2">
      <c r="A84" s="393"/>
      <c r="B84" s="393"/>
      <c r="C84" s="393"/>
      <c r="D84" s="393"/>
      <c r="E84" s="393"/>
      <c r="F84" s="393"/>
      <c r="G84" s="393"/>
      <c r="H84" s="393"/>
      <c r="I84" s="393"/>
      <c r="J84" s="393"/>
      <c r="K84" s="393"/>
      <c r="L84" s="393"/>
      <c r="M84" s="393"/>
      <c r="N84" s="393"/>
      <c r="O84" s="393"/>
    </row>
    <row r="85" spans="1:15" hidden="1" x14ac:dyDescent="0.2">
      <c r="A85" s="393"/>
      <c r="B85" s="408"/>
      <c r="C85" s="408"/>
      <c r="D85" s="408"/>
      <c r="E85" s="408"/>
      <c r="F85" s="408"/>
      <c r="G85" s="408"/>
      <c r="H85" s="408"/>
      <c r="I85" s="393"/>
      <c r="J85" s="408"/>
      <c r="K85" s="408"/>
      <c r="L85" s="393"/>
      <c r="M85" s="393"/>
      <c r="N85" s="393"/>
      <c r="O85" s="393"/>
    </row>
    <row r="86" spans="1:15" hidden="1" x14ac:dyDescent="0.2">
      <c r="A86" s="393"/>
      <c r="B86" s="393"/>
      <c r="C86" s="393"/>
      <c r="D86" s="393"/>
      <c r="E86" s="393"/>
      <c r="F86" s="393"/>
      <c r="G86" s="393"/>
      <c r="H86" s="393"/>
      <c r="I86" s="393"/>
      <c r="J86" s="393"/>
      <c r="K86" s="393"/>
      <c r="L86" s="393"/>
      <c r="M86" s="393"/>
      <c r="N86" s="393"/>
      <c r="O86" s="393"/>
    </row>
    <row r="87" spans="1:15" hidden="1" x14ac:dyDescent="0.2">
      <c r="A87" s="393"/>
      <c r="B87" s="393"/>
      <c r="C87" s="393"/>
      <c r="D87" s="393"/>
      <c r="E87" s="393"/>
      <c r="F87" s="393"/>
      <c r="G87" s="393"/>
      <c r="H87" s="393"/>
      <c r="I87" s="393"/>
      <c r="J87" s="393"/>
      <c r="K87" s="393"/>
      <c r="L87" s="393"/>
      <c r="M87" s="393"/>
      <c r="N87" s="393"/>
      <c r="O87" s="393"/>
    </row>
    <row r="88" spans="1:15" hidden="1" x14ac:dyDescent="0.2">
      <c r="A88" s="393"/>
      <c r="B88" s="393"/>
      <c r="C88" s="393"/>
      <c r="D88" s="393"/>
      <c r="E88" s="393"/>
      <c r="F88" s="393"/>
      <c r="G88" s="393"/>
      <c r="H88" s="393"/>
      <c r="I88" s="393"/>
      <c r="J88" s="393"/>
      <c r="K88" s="393"/>
      <c r="L88" s="393"/>
      <c r="M88" s="393"/>
      <c r="N88" s="393"/>
      <c r="O88" s="393"/>
    </row>
    <row r="89" spans="1:15" hidden="1" x14ac:dyDescent="0.2">
      <c r="A89" s="393"/>
      <c r="B89" s="393"/>
      <c r="C89" s="393"/>
      <c r="D89" s="393"/>
      <c r="E89" s="393"/>
      <c r="F89" s="393"/>
      <c r="G89" s="393"/>
      <c r="H89" s="393"/>
      <c r="I89" s="393"/>
      <c r="J89" s="393"/>
      <c r="K89" s="393"/>
      <c r="L89" s="393"/>
      <c r="M89" s="393"/>
      <c r="N89" s="393"/>
      <c r="O89" s="393"/>
    </row>
    <row r="90" spans="1:15" hidden="1" x14ac:dyDescent="0.2">
      <c r="A90" s="393"/>
      <c r="B90" s="393"/>
      <c r="C90" s="393"/>
      <c r="D90" s="393"/>
      <c r="E90" s="393"/>
      <c r="F90" s="393"/>
      <c r="G90" s="393"/>
      <c r="H90" s="393"/>
      <c r="I90" s="393"/>
      <c r="J90" s="393"/>
      <c r="K90" s="393"/>
      <c r="L90" s="393"/>
      <c r="M90" s="393"/>
      <c r="N90" s="393"/>
      <c r="O90" s="393"/>
    </row>
    <row r="91" spans="1:15" hidden="1" x14ac:dyDescent="0.2">
      <c r="A91" s="393"/>
      <c r="B91" s="393"/>
      <c r="C91" s="393"/>
      <c r="D91" s="393"/>
      <c r="E91" s="393"/>
      <c r="F91" s="393"/>
      <c r="G91" s="393"/>
      <c r="H91" s="393"/>
      <c r="I91" s="393"/>
      <c r="J91" s="393"/>
      <c r="K91" s="393"/>
      <c r="L91" s="393"/>
      <c r="M91" s="393"/>
      <c r="N91" s="393"/>
      <c r="O91" s="393"/>
    </row>
    <row r="92" spans="1:15" hidden="1" x14ac:dyDescent="0.2"/>
    <row r="93" spans="1:15" hidden="1" x14ac:dyDescent="0.2"/>
    <row r="94" spans="1:15" hidden="1" x14ac:dyDescent="0.2"/>
    <row r="95" spans="1:15" hidden="1" x14ac:dyDescent="0.2"/>
    <row r="96" spans="1:15"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X+qI7a57wAcI56CaV5kI5LwWapCsZDxenVOnVD8JMAHmHyOZkLQtVzWdD/z+vcbu0he9Gh/EbH5SPV+kVGgHaA==" saltValue="8WF9zQ5cBM+a3po61aYgIA==" spinCount="100000" sheet="1" objects="1" scenarios="1"/>
  <mergeCells count="17">
    <mergeCell ref="B23:E23"/>
    <mergeCell ref="B24:E24"/>
    <mergeCell ref="B25:E25"/>
    <mergeCell ref="B26:E26"/>
    <mergeCell ref="B27:E27"/>
    <mergeCell ref="B17:E17"/>
    <mergeCell ref="B18:E18"/>
    <mergeCell ref="B19:E19"/>
    <mergeCell ref="B20:E20"/>
    <mergeCell ref="B21:E21"/>
    <mergeCell ref="B22:E22"/>
    <mergeCell ref="G7:H7"/>
    <mergeCell ref="G9:H9"/>
    <mergeCell ref="B13:E13"/>
    <mergeCell ref="B14:E14"/>
    <mergeCell ref="B15:E15"/>
    <mergeCell ref="B16:E16"/>
  </mergeCells>
  <conditionalFormatting sqref="H13:H28">
    <cfRule type="cellIs" dxfId="163" priority="36" operator="equal">
      <formula>0</formula>
    </cfRule>
  </conditionalFormatting>
  <conditionalFormatting sqref="G28">
    <cfRule type="cellIs" dxfId="162" priority="35" operator="equal">
      <formula>0</formula>
    </cfRule>
  </conditionalFormatting>
  <conditionalFormatting sqref="J28">
    <cfRule type="cellIs" dxfId="161" priority="34" operator="equal">
      <formula>0</formula>
    </cfRule>
  </conditionalFormatting>
  <conditionalFormatting sqref="K13:K28">
    <cfRule type="cellIs" dxfId="160" priority="33" operator="equal">
      <formula>0</formula>
    </cfRule>
  </conditionalFormatting>
  <conditionalFormatting sqref="N13:N27">
    <cfRule type="cellIs" dxfId="159" priority="32" operator="equal">
      <formula>0</formula>
    </cfRule>
  </conditionalFormatting>
  <conditionalFormatting sqref="J7:J9">
    <cfRule type="cellIs" dxfId="158" priority="30" operator="notEqual">
      <formula>0</formula>
    </cfRule>
    <cfRule type="cellIs" dxfId="157" priority="31" operator="equal">
      <formula>0</formula>
    </cfRule>
  </conditionalFormatting>
  <conditionalFormatting sqref="G29">
    <cfRule type="cellIs" dxfId="156" priority="28" operator="notEqual">
      <formula>0</formula>
    </cfRule>
    <cfRule type="cellIs" dxfId="155" priority="29" operator="equal">
      <formula>0</formula>
    </cfRule>
  </conditionalFormatting>
  <conditionalFormatting sqref="J29">
    <cfRule type="cellIs" dxfId="154" priority="26" operator="notEqual">
      <formula>0</formula>
    </cfRule>
    <cfRule type="cellIs" dxfId="153" priority="27" operator="equal">
      <formula>0</formula>
    </cfRule>
  </conditionalFormatting>
  <conditionalFormatting sqref="B1:N1">
    <cfRule type="expression" dxfId="152" priority="23">
      <formula>OR(WALEBranding="PLANEdge")</formula>
    </cfRule>
    <cfRule type="expression" dxfId="151" priority="25">
      <formula>OR(WALEBranding="ChoiceExcel")</formula>
    </cfRule>
  </conditionalFormatting>
  <conditionalFormatting sqref="B1:N1">
    <cfRule type="expression" dxfId="150" priority="24">
      <formula>OR(WALEBranding="FASTExcel", WALEBranding="ChoiceEdge")</formula>
    </cfRule>
  </conditionalFormatting>
  <conditionalFormatting sqref="A2:O4">
    <cfRule type="expression" dxfId="139" priority="1">
      <formula>WALEBranding = "YBR"</formula>
    </cfRule>
    <cfRule type="expression" dxfId="140" priority="2">
      <formula>WALEBranding = "Paramount"</formula>
    </cfRule>
    <cfRule type="expression" dxfId="149" priority="3">
      <formula>OR(WALEBranding = "Thrive")</formula>
    </cfRule>
    <cfRule type="expression" dxfId="148" priority="4">
      <formula>OR(WALEBranding = "Go Beyond")</formula>
    </cfRule>
    <cfRule type="expression" dxfId="147" priority="5">
      <formula>OR(WALEBranding = "AFG")</formula>
    </cfRule>
    <cfRule type="expression" dxfId="146" priority="6">
      <formula>OR(WALEBranding = "AFG Align")</formula>
    </cfRule>
    <cfRule type="expression" dxfId="145" priority="18">
      <formula>OR(WALEBranding = "Con")</formula>
    </cfRule>
    <cfRule type="expression" dxfId="144" priority="19">
      <formula>WALEBranding = "RM"</formula>
    </cfRule>
    <cfRule type="expression" dxfId="143" priority="20">
      <formula>OR(WALEBranding="PLANExcel", WALEBranding="PLANEdge")</formula>
    </cfRule>
    <cfRule type="expression" dxfId="142" priority="21">
      <formula>OR(WALEBranding="FastExcel", WALEBranding="FastEdge")</formula>
    </cfRule>
    <cfRule type="expression" dxfId="141" priority="22">
      <formula>OR(WALEBranding="ChoiceExcel", WALEBranding="ChoiceEdge")</formula>
    </cfRule>
  </conditionalFormatting>
  <conditionalFormatting sqref="G28 J28">
    <cfRule type="expression" dxfId="138" priority="17">
      <formula>OR(WALEBranding="ChoiceExcel", WALEBranding="ChoiceEdge", WALEBranding="ChoiceEdge", WALEBranding="FastEdge", WALEBranding="FastExcel", WALEBranding="FASTExcel",WALEBranding="PLANExcel",WALEBranding="PLANEdge")</formula>
    </cfRule>
  </conditionalFormatting>
  <conditionalFormatting sqref="G13:G27">
    <cfRule type="cellIs" dxfId="137" priority="16" operator="equal">
      <formula>0</formula>
    </cfRule>
  </conditionalFormatting>
  <conditionalFormatting sqref="J13:J27">
    <cfRule type="cellIs" dxfId="136" priority="15" operator="equal">
      <formula>0</formula>
    </cfRule>
  </conditionalFormatting>
  <conditionalFormatting sqref="M7">
    <cfRule type="cellIs" dxfId="135" priority="14" operator="equal">
      <formula>0</formula>
    </cfRule>
  </conditionalFormatting>
  <conditionalFormatting sqref="M7">
    <cfRule type="expression" dxfId="134" priority="13">
      <formula>OR(WALEBranding="ChoiceExcel", WALEBranding="ChoiceEdge", WALEBranding="ChoiceEdge", WALEBranding="FastEdge", WALEBranding="FastExcel", WALEBranding="FASTExcel",WALEBranding="PLANExcel",WALEBranding="PLANEdge")</formula>
    </cfRule>
  </conditionalFormatting>
  <conditionalFormatting sqref="M7">
    <cfRule type="cellIs" dxfId="133" priority="12" operator="equal">
      <formula>0</formula>
    </cfRule>
  </conditionalFormatting>
  <conditionalFormatting sqref="M9">
    <cfRule type="cellIs" dxfId="132" priority="11" operator="equal">
      <formula>0</formula>
    </cfRule>
  </conditionalFormatting>
  <conditionalFormatting sqref="M9">
    <cfRule type="expression" dxfId="131" priority="10">
      <formula>OR(WALEBranding="ChoiceExcel", WALEBranding="ChoiceEdge", WALEBranding="ChoiceEdge", WALEBranding="FastEdge", WALEBranding="FastExcel", WALEBranding="FASTExcel",WALEBranding="PLANExcel",WALEBranding="PLANEdge")</formula>
    </cfRule>
  </conditionalFormatting>
  <conditionalFormatting sqref="A1">
    <cfRule type="expression" dxfId="130" priority="7">
      <formula>OR(ComBranding="PLANEdge")</formula>
    </cfRule>
    <cfRule type="expression" dxfId="129" priority="9">
      <formula>OR(ComBranding="ChoiceExcel")</formula>
    </cfRule>
  </conditionalFormatting>
  <conditionalFormatting sqref="A1">
    <cfRule type="expression" dxfId="128" priority="8">
      <formula>OR(ComBranding="FASTExcel", ComBranding="ChoiceEdge")</formula>
    </cfRule>
  </conditionalFormatting>
  <pageMargins left="0.51181102362204722" right="0.43307086614173229" top="0.74803149606299213" bottom="0.74803149606299213" header="0.31496062992125984" footer="0.31496062992125984"/>
  <pageSetup paperSize="9" scale="93" orientation="portrait" r:id="rId1"/>
  <headerFooter>
    <oddFooter>&amp;L&amp;8Published on &amp;D at &amp;T&amp;R&amp;8Copyright (c) Think Tank Group Pty Ltd 2017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DE52A-54F0-47FC-9521-3976BE842970}">
  <sheetPr codeName="Sheet5">
    <tabColor theme="1"/>
    <pageSetUpPr fitToPage="1"/>
  </sheetPr>
  <dimension ref="A1:Y655"/>
  <sheetViews>
    <sheetView showGridLines="0" showRowColHeaders="0" workbookViewId="0">
      <selection activeCell="A5" sqref="A5"/>
    </sheetView>
  </sheetViews>
  <sheetFormatPr defaultColWidth="9.140625" defaultRowHeight="12.75" x14ac:dyDescent="0.2"/>
  <cols>
    <col min="1" max="1" width="2.7109375" style="185" customWidth="1"/>
    <col min="2" max="2" width="18" style="185" customWidth="1"/>
    <col min="3" max="4" width="8.7109375" style="185" customWidth="1"/>
    <col min="5" max="5" width="0.85546875" style="185" customWidth="1"/>
    <col min="6" max="6" width="12.7109375" style="185" customWidth="1"/>
    <col min="7" max="7" width="3.28515625" style="185" customWidth="1"/>
    <col min="8" max="8" width="2.7109375" style="185" customWidth="1"/>
    <col min="9" max="9" width="24.7109375" style="185" customWidth="1"/>
    <col min="10" max="10" width="8.7109375" style="185" customWidth="1"/>
    <col min="11" max="11" width="0.85546875" style="185" customWidth="1"/>
    <col min="12" max="12" width="12.7109375" style="185" customWidth="1"/>
    <col min="13" max="13" width="3.28515625" style="185" customWidth="1"/>
    <col min="14" max="14" width="2.7109375" style="185" customWidth="1"/>
    <col min="15" max="15" width="13.7109375" style="185" customWidth="1"/>
    <col min="16" max="16" width="19.7109375" style="185" customWidth="1"/>
    <col min="17" max="17" width="0.85546875" style="185" customWidth="1"/>
    <col min="18" max="18" width="12.7109375" style="185" customWidth="1"/>
    <col min="19" max="19" width="3.28515625" style="185" customWidth="1"/>
    <col min="20" max="20" width="9.140625" style="185"/>
    <col min="21" max="21" width="13" style="185" hidden="1" customWidth="1"/>
    <col min="22" max="23" width="0" style="185" hidden="1" customWidth="1"/>
    <col min="24" max="16384" width="9.140625" style="185"/>
  </cols>
  <sheetData>
    <row r="1" spans="1:25" ht="33.75" customHeight="1" x14ac:dyDescent="0.2">
      <c r="A1" s="83" t="s">
        <v>8</v>
      </c>
      <c r="B1" s="5"/>
      <c r="C1" s="5"/>
      <c r="D1" s="409"/>
      <c r="E1" s="409" t="s">
        <v>0</v>
      </c>
      <c r="F1" s="410" t="s">
        <v>1</v>
      </c>
      <c r="G1" s="409"/>
      <c r="H1" s="409"/>
      <c r="I1" s="409"/>
      <c r="J1" s="5"/>
      <c r="K1" s="5"/>
      <c r="L1" s="5"/>
      <c r="M1" s="411" t="s">
        <v>4</v>
      </c>
      <c r="N1" s="412"/>
      <c r="O1" s="412"/>
      <c r="P1" s="413" t="s">
        <v>75</v>
      </c>
      <c r="Q1" s="412"/>
      <c r="R1" s="412"/>
      <c r="S1" s="414"/>
    </row>
    <row r="2" spans="1:25" ht="15" customHeight="1" x14ac:dyDescent="0.2">
      <c r="A2" s="8"/>
      <c r="B2" s="8"/>
      <c r="C2" s="8"/>
      <c r="D2" s="8"/>
      <c r="E2" s="8"/>
      <c r="F2" s="8"/>
      <c r="G2" s="8"/>
      <c r="H2" s="415"/>
      <c r="I2" s="8"/>
      <c r="J2" s="8"/>
      <c r="K2" s="8"/>
      <c r="L2" s="8"/>
      <c r="M2" s="416"/>
      <c r="N2" s="8"/>
      <c r="O2" s="8"/>
      <c r="P2" s="8"/>
      <c r="Q2" s="8"/>
      <c r="R2" s="8"/>
      <c r="S2" s="8"/>
    </row>
    <row r="3" spans="1:25" ht="14.25" x14ac:dyDescent="0.2">
      <c r="A3" s="4"/>
      <c r="B3" s="417" t="s">
        <v>242</v>
      </c>
      <c r="C3" s="4"/>
      <c r="D3" s="4"/>
      <c r="E3" s="4"/>
      <c r="F3" s="4"/>
      <c r="G3" s="4"/>
      <c r="H3" s="418"/>
      <c r="I3" s="417" t="str">
        <f>IF(F7="Residential","2 Valuation Fee ","2  amount payable upon acceptance of loan offer")</f>
        <v>2  amount payable upon acceptance of loan offer</v>
      </c>
      <c r="J3" s="4"/>
      <c r="K3" s="4"/>
      <c r="L3" s="4"/>
      <c r="M3" s="419"/>
      <c r="N3" s="4"/>
      <c r="O3" s="417" t="s">
        <v>243</v>
      </c>
      <c r="P3" s="4"/>
      <c r="Q3" s="4"/>
      <c r="R3" s="4"/>
      <c r="S3" s="4"/>
    </row>
    <row r="4" spans="1:25" ht="12" customHeight="1" x14ac:dyDescent="0.2">
      <c r="A4" s="20"/>
      <c r="B4" s="20"/>
      <c r="C4" s="20"/>
      <c r="D4" s="20"/>
      <c r="E4" s="20"/>
      <c r="F4" s="20"/>
      <c r="G4" s="20"/>
      <c r="H4" s="420"/>
      <c r="I4" s="20"/>
      <c r="J4" s="20"/>
      <c r="K4" s="20"/>
      <c r="L4" s="20"/>
      <c r="M4" s="421"/>
      <c r="N4" s="20"/>
      <c r="O4" s="20"/>
      <c r="P4" s="20"/>
      <c r="Q4" s="20"/>
      <c r="R4" s="20"/>
      <c r="S4" s="20"/>
      <c r="U4" s="1" t="s">
        <v>244</v>
      </c>
      <c r="V4" s="13" t="s">
        <v>0</v>
      </c>
    </row>
    <row r="5" spans="1:25" ht="24" customHeight="1" thickBot="1" x14ac:dyDescent="0.3">
      <c r="A5" s="331"/>
      <c r="B5" s="422" t="s">
        <v>12</v>
      </c>
      <c r="C5" s="332"/>
      <c r="D5" s="423"/>
      <c r="E5" s="379"/>
      <c r="F5" s="424" t="s">
        <v>245</v>
      </c>
      <c r="G5" s="379"/>
      <c r="H5" s="331"/>
      <c r="I5" s="332"/>
      <c r="J5" s="332"/>
      <c r="K5" s="332"/>
      <c r="L5" s="425" t="s">
        <v>246</v>
      </c>
      <c r="M5" s="335"/>
      <c r="N5" s="332"/>
      <c r="O5" s="332"/>
      <c r="P5" s="332"/>
      <c r="Q5" s="332"/>
      <c r="R5" s="426"/>
      <c r="S5" s="335"/>
      <c r="T5" s="393"/>
      <c r="U5" s="171"/>
      <c r="V5" s="171"/>
    </row>
    <row r="6" spans="1:25" ht="15.95" customHeight="1" thickBot="1" x14ac:dyDescent="0.3">
      <c r="A6" s="343"/>
      <c r="B6" s="427" t="s">
        <v>247</v>
      </c>
      <c r="C6" s="370"/>
      <c r="D6" s="428"/>
      <c r="E6" s="338"/>
      <c r="F6" s="429"/>
      <c r="G6" s="379"/>
      <c r="H6" s="343"/>
      <c r="I6" s="427" t="str">
        <f xml:space="preserve"> E1&amp; " Commitment Fee"</f>
        <v>Thrive Commitment Fee</v>
      </c>
      <c r="J6" s="430" t="str">
        <f>IF(OR(F7="Residential",F6=""),"",0.5%)</f>
        <v/>
      </c>
      <c r="K6" s="379"/>
      <c r="L6" s="431">
        <f>IFERROR(IF(AND(D7="Yes",F7="Residential"),"0",IF(OR(D7="NO",AND(D7="yes",F7="commercial")),((F29/2)*1.1),0)),"0")</f>
        <v>0</v>
      </c>
      <c r="M6" s="352"/>
      <c r="N6" s="379"/>
      <c r="O6" s="427" t="s">
        <v>248</v>
      </c>
      <c r="P6" s="379"/>
      <c r="Q6" s="379"/>
      <c r="R6" s="432" t="s">
        <v>246</v>
      </c>
      <c r="S6" s="352"/>
      <c r="T6" s="393"/>
      <c r="U6" s="1" t="s">
        <v>7</v>
      </c>
      <c r="V6" s="18" t="e">
        <f>SMSFVersion</f>
        <v>#REF!</v>
      </c>
    </row>
    <row r="7" spans="1:25" ht="15.95" customHeight="1" thickBot="1" x14ac:dyDescent="0.25">
      <c r="A7" s="343"/>
      <c r="B7" s="433" t="s">
        <v>249</v>
      </c>
      <c r="C7" s="370"/>
      <c r="D7" s="434" t="s">
        <v>73</v>
      </c>
      <c r="E7" s="338"/>
      <c r="F7" s="435"/>
      <c r="G7" s="379"/>
      <c r="H7" s="343"/>
      <c r="I7" s="436" t="s">
        <v>250</v>
      </c>
      <c r="J7" s="437"/>
      <c r="K7" s="437"/>
      <c r="L7" s="438"/>
      <c r="M7" s="352"/>
      <c r="N7" s="379"/>
      <c r="O7" s="439" t="str">
        <f>+IF(OR(AND(D7="Yes",F7="commercial"),D7="NO"),"Up Front Commission","Valuation Fee")</f>
        <v>Up Front Commission</v>
      </c>
      <c r="P7" s="440"/>
      <c r="Q7" s="440"/>
      <c r="R7" s="441">
        <f>IF(AND(D7="Yes",F7="Residential"),L9,(F27*1.1))</f>
        <v>0</v>
      </c>
      <c r="S7" s="352"/>
      <c r="T7" s="393"/>
      <c r="U7" s="442"/>
    </row>
    <row r="8" spans="1:25" ht="15.95" customHeight="1" thickBot="1" x14ac:dyDescent="0.3">
      <c r="A8" s="343"/>
      <c r="B8" s="443" t="s">
        <v>251</v>
      </c>
      <c r="C8" s="370"/>
      <c r="D8" s="444"/>
      <c r="E8" s="338"/>
      <c r="F8" s="338"/>
      <c r="G8" s="379"/>
      <c r="H8" s="343"/>
      <c r="I8" s="445"/>
      <c r="J8" s="437"/>
      <c r="K8" s="437"/>
      <c r="L8" s="446" t="s">
        <v>246</v>
      </c>
      <c r="M8" s="341"/>
      <c r="N8" s="379"/>
      <c r="O8" s="439" t="str">
        <f>E1&amp;" Establishment Fee "</f>
        <v xml:space="preserve">Thrive Establishment Fee </v>
      </c>
      <c r="P8" s="447"/>
      <c r="Q8" s="379"/>
      <c r="R8" s="441">
        <f>IF(F28="","",F28*1.1)</f>
        <v>0</v>
      </c>
      <c r="S8" s="341"/>
      <c r="T8" s="448"/>
      <c r="U8" s="449"/>
      <c r="V8" s="450" t="s">
        <v>252</v>
      </c>
      <c r="W8" s="448"/>
      <c r="X8" s="448"/>
      <c r="Y8" s="448"/>
    </row>
    <row r="9" spans="1:25" ht="15.95" customHeight="1" thickBot="1" x14ac:dyDescent="0.3">
      <c r="A9" s="343"/>
      <c r="B9" s="427" t="s">
        <v>253</v>
      </c>
      <c r="C9" s="451"/>
      <c r="D9" s="452" t="str">
        <f>IF(D10=0,"Please Enter State ","State")</f>
        <v xml:space="preserve">Please Enter State </v>
      </c>
      <c r="E9" s="379"/>
      <c r="F9" s="424" t="s">
        <v>245</v>
      </c>
      <c r="G9" s="379"/>
      <c r="H9" s="343"/>
      <c r="I9" s="427" t="s">
        <v>254</v>
      </c>
      <c r="J9" s="440"/>
      <c r="K9" s="440"/>
      <c r="L9" s="453">
        <f>IF(F10&gt;=3500001,"Refer to RM",IF(OR(F7="commercial",F7=""),VLOOKUP(F10,Fees!$L$4:$O$15,2),VLOOKUP(F10,Fees!$Q$4:$T$15,2)))</f>
        <v>0</v>
      </c>
      <c r="M9" s="341"/>
      <c r="N9" s="379"/>
      <c r="O9" s="454" t="str">
        <f>IF(E7="Residential","","Less:-  Commitment Fee Paid")</f>
        <v>Less:-  Commitment Fee Paid</v>
      </c>
      <c r="P9" s="447"/>
      <c r="Q9" s="379"/>
      <c r="R9" s="441">
        <f>IFERROR(IF(F7="Residential","",-L6),"")</f>
        <v>0</v>
      </c>
      <c r="S9" s="341"/>
      <c r="T9" s="448"/>
      <c r="U9" s="449">
        <v>1</v>
      </c>
      <c r="V9" s="450" t="str">
        <f>IF(AND(D7="yes",F7="commercial"),2200,"")</f>
        <v/>
      </c>
      <c r="W9" s="448" t="s">
        <v>255</v>
      </c>
      <c r="X9" s="448"/>
      <c r="Y9" s="448"/>
    </row>
    <row r="10" spans="1:25" ht="15.95" customHeight="1" thickBot="1" x14ac:dyDescent="0.25">
      <c r="A10" s="343"/>
      <c r="B10" s="439" t="s">
        <v>256</v>
      </c>
      <c r="C10" s="455"/>
      <c r="D10" s="456"/>
      <c r="E10" s="338"/>
      <c r="F10" s="429"/>
      <c r="G10" s="379"/>
      <c r="H10" s="343"/>
      <c r="I10" s="436" t="s">
        <v>257</v>
      </c>
      <c r="J10" s="440"/>
      <c r="K10" s="440"/>
      <c r="L10" s="457"/>
      <c r="M10" s="341"/>
      <c r="N10" s="379"/>
      <c r="O10" s="458" t="s">
        <v>258</v>
      </c>
      <c r="P10" s="447"/>
      <c r="Q10" s="379"/>
      <c r="R10" s="459">
        <f>SUM(R7:R9)</f>
        <v>0</v>
      </c>
      <c r="S10" s="341"/>
      <c r="T10" s="448"/>
      <c r="U10" s="449">
        <v>2</v>
      </c>
      <c r="V10" s="460" t="str">
        <f>IF(AND(D7="NO",F6&gt;1000000),IF(F6&gt;1000000,F6*0.11%,0),"")</f>
        <v/>
      </c>
      <c r="W10" s="448" t="s">
        <v>259</v>
      </c>
      <c r="X10" s="448"/>
      <c r="Y10" s="448"/>
    </row>
    <row r="11" spans="1:25" ht="15.95" customHeight="1" thickBot="1" x14ac:dyDescent="0.25">
      <c r="A11" s="343"/>
      <c r="B11" s="439" t="s">
        <v>260</v>
      </c>
      <c r="C11" s="455"/>
      <c r="D11" s="456"/>
      <c r="E11" s="338"/>
      <c r="F11" s="441">
        <f>IF(D11=B$77,F10*0.1,0)</f>
        <v>0</v>
      </c>
      <c r="G11" s="379"/>
      <c r="H11" s="343"/>
      <c r="I11" s="344"/>
      <c r="J11" s="440"/>
      <c r="K11" s="440"/>
      <c r="L11" s="457"/>
      <c r="M11" s="341"/>
      <c r="N11" s="379"/>
      <c r="O11" s="370"/>
      <c r="P11" s="447"/>
      <c r="Q11" s="379"/>
      <c r="R11" s="461"/>
      <c r="S11" s="341"/>
      <c r="T11" s="448"/>
      <c r="U11" s="449">
        <v>3</v>
      </c>
      <c r="V11" s="448">
        <f>IF(AND(D7="No",F6&lt;=1000000),1100,"")</f>
        <v>1100</v>
      </c>
      <c r="W11" s="448" t="s">
        <v>261</v>
      </c>
      <c r="X11" s="448"/>
      <c r="Y11" s="448"/>
    </row>
    <row r="12" spans="1:25" ht="15.95" customHeight="1" thickBot="1" x14ac:dyDescent="0.3">
      <c r="A12" s="343"/>
      <c r="B12" s="439" t="s">
        <v>262</v>
      </c>
      <c r="C12" s="455"/>
      <c r="D12" s="338"/>
      <c r="E12" s="338"/>
      <c r="F12" s="429"/>
      <c r="G12" s="379"/>
      <c r="H12" s="462"/>
      <c r="I12" s="463"/>
      <c r="J12" s="464"/>
      <c r="K12" s="464"/>
      <c r="L12" s="465"/>
      <c r="M12" s="466"/>
      <c r="N12" s="379"/>
      <c r="O12" s="427" t="s">
        <v>263</v>
      </c>
      <c r="P12" s="440"/>
      <c r="Q12" s="440"/>
      <c r="R12" s="432" t="s">
        <v>246</v>
      </c>
      <c r="S12" s="467"/>
      <c r="T12" s="468">
        <f>SUM(V9:V11)</f>
        <v>1100</v>
      </c>
      <c r="U12" s="448"/>
      <c r="V12" s="448"/>
      <c r="W12" s="448"/>
      <c r="X12" s="448"/>
      <c r="Y12" s="448"/>
    </row>
    <row r="13" spans="1:25" ht="15.95" customHeight="1" thickBot="1" x14ac:dyDescent="0.25">
      <c r="A13" s="343"/>
      <c r="B13" s="458" t="s">
        <v>264</v>
      </c>
      <c r="C13" s="338"/>
      <c r="D13" s="338"/>
      <c r="E13" s="338"/>
      <c r="F13" s="459">
        <f>SUM(F10:F11)-F12</f>
        <v>0</v>
      </c>
      <c r="G13" s="379"/>
      <c r="H13" s="392"/>
      <c r="I13" s="401"/>
      <c r="L13" s="469"/>
      <c r="M13" s="470"/>
      <c r="N13" s="379"/>
      <c r="O13" s="439" t="s">
        <v>265</v>
      </c>
      <c r="P13" s="440"/>
      <c r="Q13" s="440"/>
      <c r="R13" s="441">
        <f>IF(AND(D7="YES",F7="Residential"),"",IF(F6&gt;0,VLOOKUP(F6,Fees!$G$29:$J$36,2)+T14*75*1.1,0))</f>
        <v>0</v>
      </c>
      <c r="S13" s="467"/>
      <c r="T13" s="471" t="str">
        <f>IF(F6="","",IF(F6=0," ",IF(AND(D7="Yes",F7="Residential"),1760,(550*(1+10%)))))</f>
        <v/>
      </c>
      <c r="U13" s="448"/>
      <c r="V13" s="448"/>
      <c r="W13" s="448"/>
      <c r="X13" s="448"/>
      <c r="Y13" s="448"/>
    </row>
    <row r="14" spans="1:25" ht="15.95" customHeight="1" thickBot="1" x14ac:dyDescent="0.25">
      <c r="A14" s="343"/>
      <c r="B14" s="439" t="s">
        <v>266</v>
      </c>
      <c r="C14" s="472"/>
      <c r="D14" s="473"/>
      <c r="E14" s="474"/>
      <c r="F14" s="475">
        <f>IF(F10&gt;0,F6/F10,0)</f>
        <v>0</v>
      </c>
      <c r="G14" s="379"/>
      <c r="H14" s="392"/>
      <c r="I14" s="402"/>
      <c r="L14" s="469"/>
      <c r="M14" s="470"/>
      <c r="N14" s="379"/>
      <c r="O14" s="439" t="s">
        <v>267</v>
      </c>
      <c r="P14" s="440"/>
      <c r="Q14" s="440"/>
      <c r="R14" s="441">
        <f>IF(F7="Residential","",T12)</f>
        <v>1100</v>
      </c>
      <c r="S14" s="467"/>
      <c r="T14" s="476">
        <f>D15-1</f>
        <v>0</v>
      </c>
      <c r="U14" s="448"/>
      <c r="V14" s="448"/>
      <c r="W14" s="448"/>
      <c r="X14" s="448"/>
      <c r="Y14" s="448"/>
    </row>
    <row r="15" spans="1:25" ht="15.95" customHeight="1" thickBot="1" x14ac:dyDescent="0.25">
      <c r="A15" s="343"/>
      <c r="B15" s="439" t="s">
        <v>268</v>
      </c>
      <c r="C15" s="379"/>
      <c r="D15" s="477">
        <v>1</v>
      </c>
      <c r="E15" s="379"/>
      <c r="F15" s="379"/>
      <c r="G15" s="379"/>
      <c r="H15" s="392"/>
      <c r="I15" s="402"/>
      <c r="L15" s="469"/>
      <c r="M15" s="470"/>
      <c r="N15" s="379"/>
      <c r="O15" s="439" t="s">
        <v>269</v>
      </c>
      <c r="P15" s="440"/>
      <c r="Q15" s="440"/>
      <c r="R15" s="441" t="str">
        <f>IF(F6&gt;0,450," ")</f>
        <v xml:space="preserve"> </v>
      </c>
      <c r="S15" s="467"/>
      <c r="T15" s="449"/>
      <c r="U15" s="448"/>
      <c r="V15" s="448"/>
      <c r="W15" s="448"/>
      <c r="X15" s="448"/>
      <c r="Y15" s="448"/>
    </row>
    <row r="16" spans="1:25" ht="15.95" customHeight="1" thickBot="1" x14ac:dyDescent="0.25">
      <c r="A16" s="343"/>
      <c r="B16" s="344"/>
      <c r="C16" s="379"/>
      <c r="D16" s="451"/>
      <c r="E16" s="379"/>
      <c r="F16" s="379"/>
      <c r="G16" s="379"/>
      <c r="H16" s="392"/>
      <c r="I16" s="1"/>
      <c r="L16" s="469"/>
      <c r="M16" s="470"/>
      <c r="N16" s="379"/>
      <c r="O16" s="458" t="s">
        <v>270</v>
      </c>
      <c r="P16" s="440"/>
      <c r="Q16" s="440"/>
      <c r="R16" s="459">
        <f>SUM(R13:R15)</f>
        <v>1100</v>
      </c>
      <c r="S16" s="467"/>
      <c r="T16" s="449"/>
      <c r="U16" s="448"/>
      <c r="V16" s="448"/>
      <c r="W16" s="448"/>
      <c r="X16" s="448"/>
      <c r="Y16" s="448"/>
    </row>
    <row r="17" spans="1:25" ht="15.95" customHeight="1" thickBot="1" x14ac:dyDescent="0.3">
      <c r="A17" s="343"/>
      <c r="B17" s="427" t="s">
        <v>271</v>
      </c>
      <c r="C17" s="451"/>
      <c r="D17" s="451"/>
      <c r="E17" s="338"/>
      <c r="F17" s="424" t="s">
        <v>245</v>
      </c>
      <c r="G17" s="379"/>
      <c r="H17" s="392"/>
      <c r="I17" s="402"/>
      <c r="L17" s="469"/>
      <c r="M17" s="470"/>
      <c r="N17" s="379"/>
      <c r="O17" s="338"/>
      <c r="P17" s="440"/>
      <c r="Q17" s="440"/>
      <c r="R17" s="478"/>
      <c r="S17" s="467"/>
      <c r="T17" s="449"/>
      <c r="U17" s="448"/>
      <c r="V17" s="448"/>
      <c r="W17" s="448"/>
      <c r="X17" s="448"/>
      <c r="Y17" s="448"/>
    </row>
    <row r="18" spans="1:25" ht="15.95" customHeight="1" thickBot="1" x14ac:dyDescent="0.25">
      <c r="A18" s="343"/>
      <c r="B18" s="439" t="s">
        <v>272</v>
      </c>
      <c r="C18" s="455"/>
      <c r="D18" s="338"/>
      <c r="E18" s="338"/>
      <c r="F18" s="429"/>
      <c r="G18" s="379"/>
      <c r="H18" s="392"/>
      <c r="I18" s="402"/>
      <c r="L18" s="469"/>
      <c r="M18" s="470"/>
      <c r="N18" s="379"/>
      <c r="O18" s="427" t="s">
        <v>273</v>
      </c>
      <c r="P18" s="440"/>
      <c r="Q18" s="440"/>
      <c r="R18" s="478"/>
      <c r="S18" s="467"/>
      <c r="T18" s="479"/>
      <c r="U18" s="480"/>
      <c r="V18" s="480"/>
      <c r="W18" s="480"/>
      <c r="X18" s="480"/>
      <c r="Y18" s="480"/>
    </row>
    <row r="19" spans="1:25" ht="15.95" customHeight="1" thickBot="1" x14ac:dyDescent="0.25">
      <c r="A19" s="343"/>
      <c r="B19" s="439" t="s">
        <v>274</v>
      </c>
      <c r="C19" s="455"/>
      <c r="D19" s="456"/>
      <c r="E19" s="338"/>
      <c r="F19" s="441">
        <f>IF(D19=B$77,F18*0.1,0)</f>
        <v>0</v>
      </c>
      <c r="G19" s="379"/>
      <c r="H19" s="392"/>
      <c r="I19" s="402"/>
      <c r="L19" s="469"/>
      <c r="M19" s="470"/>
      <c r="N19" s="379"/>
      <c r="O19" s="478"/>
      <c r="P19" s="478"/>
      <c r="Q19" s="478"/>
      <c r="R19" s="478"/>
      <c r="S19" s="467"/>
      <c r="T19" s="479"/>
      <c r="U19" s="480"/>
      <c r="V19" s="481"/>
      <c r="W19" s="480"/>
      <c r="X19" s="480"/>
      <c r="Y19" s="480"/>
    </row>
    <row r="20" spans="1:25" ht="15.95" customHeight="1" thickBot="1" x14ac:dyDescent="0.25">
      <c r="A20" s="343"/>
      <c r="B20" s="439" t="s">
        <v>275</v>
      </c>
      <c r="C20" s="455"/>
      <c r="D20" s="111"/>
      <c r="E20" s="338"/>
      <c r="F20" s="441">
        <f>F18*D20</f>
        <v>0</v>
      </c>
      <c r="G20" s="379"/>
      <c r="H20" s="392"/>
      <c r="I20" s="402"/>
      <c r="L20" s="469"/>
      <c r="M20" s="470"/>
      <c r="N20" s="379"/>
      <c r="O20" s="439" t="s">
        <v>276</v>
      </c>
      <c r="P20" s="440"/>
      <c r="Q20" s="440"/>
      <c r="R20" s="482">
        <f>'Stamp Duty'!N3</f>
        <v>0</v>
      </c>
      <c r="S20" s="467"/>
      <c r="T20" s="479"/>
      <c r="U20" s="481"/>
      <c r="V20" s="481"/>
      <c r="W20" s="480"/>
      <c r="X20" s="480"/>
      <c r="Y20" s="480"/>
    </row>
    <row r="21" spans="1:25" ht="15.95" customHeight="1" thickBot="1" x14ac:dyDescent="0.25">
      <c r="A21" s="343"/>
      <c r="B21" s="439" t="s">
        <v>277</v>
      </c>
      <c r="C21" s="455"/>
      <c r="D21" s="338"/>
      <c r="E21" s="338"/>
      <c r="F21" s="429"/>
      <c r="G21" s="379"/>
      <c r="H21" s="392"/>
      <c r="I21" s="402"/>
      <c r="L21" s="469"/>
      <c r="M21" s="470"/>
      <c r="N21" s="379"/>
      <c r="O21" s="439" t="s">
        <v>278</v>
      </c>
      <c r="P21" s="440"/>
      <c r="Q21" s="440"/>
      <c r="R21" s="429"/>
      <c r="S21" s="467"/>
      <c r="T21" s="479"/>
      <c r="U21" s="481"/>
      <c r="V21" s="481"/>
      <c r="W21" s="481"/>
      <c r="X21" s="480"/>
      <c r="Y21" s="480"/>
    </row>
    <row r="22" spans="1:25" ht="15.95" customHeight="1" thickBot="1" x14ac:dyDescent="0.25">
      <c r="A22" s="343"/>
      <c r="B22" s="439" t="s">
        <v>279</v>
      </c>
      <c r="C22" s="455"/>
      <c r="D22" s="338"/>
      <c r="E22" s="338"/>
      <c r="F22" s="429"/>
      <c r="G22" s="379"/>
      <c r="H22" s="392"/>
      <c r="I22" s="402"/>
      <c r="L22" s="469"/>
      <c r="M22" s="470"/>
      <c r="N22" s="379"/>
      <c r="O22" s="439" t="s">
        <v>280</v>
      </c>
      <c r="P22" s="483"/>
      <c r="Q22" s="440"/>
      <c r="R22" s="429"/>
      <c r="S22" s="467"/>
      <c r="T22" s="479"/>
      <c r="U22" s="481"/>
      <c r="V22" s="481"/>
      <c r="W22" s="480"/>
      <c r="X22" s="480"/>
      <c r="Y22" s="480"/>
    </row>
    <row r="23" spans="1:25" ht="15.95" customHeight="1" thickBot="1" x14ac:dyDescent="0.25">
      <c r="A23" s="343"/>
      <c r="B23" s="458" t="s">
        <v>281</v>
      </c>
      <c r="C23" s="338"/>
      <c r="D23" s="338"/>
      <c r="E23" s="338"/>
      <c r="F23" s="459">
        <f>SUM(F18:F19)-F20-F21-F22</f>
        <v>0</v>
      </c>
      <c r="G23" s="352"/>
      <c r="H23" s="392"/>
      <c r="I23" s="402"/>
      <c r="L23" s="469"/>
      <c r="M23" s="470"/>
      <c r="N23" s="379"/>
      <c r="O23" s="458" t="s">
        <v>282</v>
      </c>
      <c r="P23" s="440"/>
      <c r="Q23" s="440"/>
      <c r="R23" s="459">
        <f>SUM(R20:R22)</f>
        <v>0</v>
      </c>
      <c r="S23" s="467"/>
      <c r="T23" s="479"/>
      <c r="U23" s="484"/>
      <c r="V23" s="480"/>
      <c r="W23" s="480"/>
      <c r="X23" s="480"/>
      <c r="Y23" s="480"/>
    </row>
    <row r="24" spans="1:25" ht="5.0999999999999996" customHeight="1" x14ac:dyDescent="0.2">
      <c r="A24" s="343"/>
      <c r="B24" s="485"/>
      <c r="C24" s="485"/>
      <c r="D24" s="486"/>
      <c r="E24" s="379"/>
      <c r="F24" s="478"/>
      <c r="G24" s="352"/>
      <c r="H24" s="392"/>
      <c r="I24" s="487"/>
      <c r="L24" s="488"/>
      <c r="M24" s="470"/>
      <c r="N24" s="379"/>
      <c r="O24" s="344"/>
      <c r="P24" s="440"/>
      <c r="Q24" s="440"/>
      <c r="R24" s="440"/>
      <c r="S24" s="467"/>
      <c r="T24" s="479"/>
      <c r="U24" s="480"/>
      <c r="V24" s="480"/>
      <c r="W24" s="480"/>
      <c r="X24" s="480"/>
      <c r="Y24" s="480"/>
    </row>
    <row r="25" spans="1:25" ht="15.95" customHeight="1" thickBot="1" x14ac:dyDescent="0.25">
      <c r="A25" s="343"/>
      <c r="B25" s="427" t="s">
        <v>283</v>
      </c>
      <c r="C25" s="485"/>
      <c r="D25" s="486"/>
      <c r="E25" s="379"/>
      <c r="F25" s="478"/>
      <c r="G25" s="352"/>
      <c r="H25" s="489"/>
      <c r="I25" s="490"/>
      <c r="J25" s="491"/>
      <c r="K25" s="491"/>
      <c r="L25" s="492"/>
      <c r="M25" s="493"/>
      <c r="N25" s="494"/>
      <c r="O25" s="495"/>
      <c r="P25" s="496"/>
      <c r="Q25" s="496"/>
      <c r="R25" s="496"/>
      <c r="S25" s="497"/>
      <c r="T25" s="479"/>
      <c r="U25" s="480"/>
      <c r="V25" s="480"/>
      <c r="W25" s="480"/>
      <c r="X25" s="480"/>
      <c r="Y25" s="480"/>
    </row>
    <row r="26" spans="1:25" ht="15.95" customHeight="1" thickBot="1" x14ac:dyDescent="0.3">
      <c r="A26" s="343"/>
      <c r="B26" s="429"/>
      <c r="C26" s="370"/>
      <c r="D26" s="446" t="s">
        <v>236</v>
      </c>
      <c r="E26" s="379"/>
      <c r="F26" s="446" t="s">
        <v>284</v>
      </c>
      <c r="G26" s="352"/>
      <c r="H26" s="343"/>
      <c r="I26" s="498"/>
      <c r="J26" s="440"/>
      <c r="K26" s="440"/>
      <c r="L26" s="499"/>
      <c r="M26" s="467"/>
      <c r="N26" s="379"/>
      <c r="O26" s="338"/>
      <c r="P26" s="440"/>
      <c r="Q26" s="440"/>
      <c r="R26" s="478"/>
      <c r="S26" s="467"/>
      <c r="T26" s="479"/>
      <c r="U26" s="480"/>
      <c r="V26" s="480"/>
      <c r="W26" s="480"/>
      <c r="X26" s="480"/>
      <c r="Y26" s="480"/>
    </row>
    <row r="27" spans="1:25" ht="15.95" customHeight="1" thickBot="1" x14ac:dyDescent="0.3">
      <c r="A27" s="343"/>
      <c r="B27" s="500" t="str">
        <f>IF(F7="residiential","Up Front max 0.60%","Up Front")</f>
        <v>Up Front</v>
      </c>
      <c r="C27" s="501"/>
      <c r="D27" s="430">
        <f>IF(OR(D7="NO",F7="Commercial"),0.6%,0.5%)</f>
        <v>6.0000000000000001E-3</v>
      </c>
      <c r="E27" s="379">
        <v>0.65</v>
      </c>
      <c r="F27" s="502">
        <f>IF(B26="",(F6*D27),IF(D27&gt;C54,D54,D27*F6))</f>
        <v>0</v>
      </c>
      <c r="G27" s="379"/>
      <c r="H27" s="343"/>
      <c r="I27" s="370"/>
      <c r="J27" s="440"/>
      <c r="K27" s="440"/>
      <c r="L27" s="432" t="str">
        <f>IF(OR(F7="",AND(D7="Yes",F7="Residential")),"","(incl. GST)")</f>
        <v/>
      </c>
      <c r="M27" s="467"/>
      <c r="N27" s="343"/>
      <c r="O27" s="344"/>
      <c r="P27" s="440"/>
      <c r="Q27" s="440"/>
      <c r="R27" s="446" t="s">
        <v>246</v>
      </c>
      <c r="S27" s="467"/>
      <c r="T27" s="479"/>
      <c r="U27" s="480"/>
      <c r="V27" s="480"/>
      <c r="W27" s="480"/>
      <c r="X27" s="480"/>
      <c r="Y27" s="480"/>
    </row>
    <row r="28" spans="1:25" ht="15.75" customHeight="1" thickBot="1" x14ac:dyDescent="0.25">
      <c r="A28" s="343"/>
      <c r="B28" s="500" t="str">
        <f>IF(OR(D7="NO",F7="Commercial",F7=""),"Establishment Fee ","Establishment Fee (Flat Incl*)")</f>
        <v xml:space="preserve">Establishment Fee </v>
      </c>
      <c r="C28" s="503"/>
      <c r="D28" s="430" t="str">
        <f>IF(F7="Commercial","0.35%",IF(OR(D7="",AND(D7="Yes",F7="Residential")),"",IF(B26=B51,C51,IF(B26=B52,C52,""))))</f>
        <v/>
      </c>
      <c r="E28" s="379"/>
      <c r="F28" s="441">
        <f>IFERROR(IF(F6="",0,IF(F7="Residential",650,D28*F6)),"")</f>
        <v>0</v>
      </c>
      <c r="G28" s="379"/>
      <c r="H28" s="343"/>
      <c r="I28" s="427" t="str">
        <f>IF(OR(D7="NO",F7="Commercial"),"Total Fees Payable at Acceptance (incl. GST)","")</f>
        <v>Total Fees Payable at Acceptance (incl. GST)</v>
      </c>
      <c r="J28" s="504"/>
      <c r="K28" s="440"/>
      <c r="L28" s="505">
        <f>IF(OR(D7="NO",F7="Commercial"),(L9+L6),"0")</f>
        <v>0</v>
      </c>
      <c r="M28" s="506" t="s">
        <v>285</v>
      </c>
      <c r="N28" s="379"/>
      <c r="O28" s="427" t="s">
        <v>264</v>
      </c>
      <c r="P28" s="440"/>
      <c r="Q28" s="440"/>
      <c r="R28" s="505">
        <f>R16+R10+R23</f>
        <v>1100</v>
      </c>
      <c r="S28" s="506" t="s">
        <v>285</v>
      </c>
      <c r="T28" s="479"/>
      <c r="U28" s="480"/>
      <c r="V28" s="480"/>
      <c r="W28" s="480"/>
      <c r="X28" s="480"/>
      <c r="Y28" s="480"/>
    </row>
    <row r="29" spans="1:25" ht="15.95" customHeight="1" thickBot="1" x14ac:dyDescent="0.25">
      <c r="A29" s="343"/>
      <c r="B29" s="507" t="s">
        <v>286</v>
      </c>
      <c r="C29" s="485"/>
      <c r="D29" s="508" t="str">
        <f>IF(D28="","",D27+D28)</f>
        <v/>
      </c>
      <c r="E29" s="379"/>
      <c r="F29" s="509">
        <f>IFERROR(IF(OR(AND(D7="Yes",F7="Commercial"),(AND(D7="NO",F7=""))),F27+F28,""),"")</f>
        <v>0</v>
      </c>
      <c r="G29" s="379"/>
      <c r="H29" s="343"/>
      <c r="I29" s="370"/>
      <c r="J29" s="440"/>
      <c r="K29" s="440"/>
      <c r="L29" s="499"/>
      <c r="M29" s="467"/>
      <c r="N29" s="379"/>
      <c r="O29" s="344"/>
      <c r="P29" s="440"/>
      <c r="Q29" s="440"/>
      <c r="R29" s="440"/>
      <c r="S29" s="467"/>
      <c r="T29" s="479"/>
      <c r="U29" s="480"/>
      <c r="V29" s="480"/>
      <c r="W29" s="480"/>
      <c r="X29" s="480"/>
      <c r="Y29" s="480"/>
    </row>
    <row r="30" spans="1:25" ht="15.75" customHeight="1" thickBot="1" x14ac:dyDescent="0.25">
      <c r="A30" s="380"/>
      <c r="B30" s="510"/>
      <c r="C30" s="510"/>
      <c r="D30" s="382"/>
      <c r="E30" s="382"/>
      <c r="F30" s="382"/>
      <c r="G30" s="382"/>
      <c r="H30" s="380"/>
      <c r="I30" s="511"/>
      <c r="J30" s="512"/>
      <c r="K30" s="512"/>
      <c r="L30" s="512"/>
      <c r="M30" s="513"/>
      <c r="N30" s="382"/>
      <c r="O30" s="511"/>
      <c r="P30" s="512"/>
      <c r="Q30" s="512"/>
      <c r="R30" s="512"/>
      <c r="S30" s="513"/>
      <c r="T30" s="393"/>
    </row>
    <row r="31" spans="1:25" ht="11.25" customHeight="1" x14ac:dyDescent="0.25">
      <c r="A31" s="385"/>
      <c r="B31" s="514" t="s">
        <v>287</v>
      </c>
      <c r="C31" s="515"/>
      <c r="D31" s="387"/>
      <c r="E31" s="387"/>
      <c r="F31" s="387"/>
      <c r="G31" s="387"/>
      <c r="H31" s="387"/>
      <c r="I31" s="516"/>
      <c r="J31" s="517"/>
      <c r="K31" s="517"/>
      <c r="L31" s="517"/>
      <c r="M31" s="518"/>
      <c r="N31" s="519"/>
      <c r="O31" s="520"/>
      <c r="P31" s="521"/>
      <c r="Q31" s="521"/>
      <c r="R31" s="521"/>
      <c r="S31" s="522"/>
      <c r="T31" s="392"/>
    </row>
    <row r="32" spans="1:25" ht="20.25" customHeight="1" thickBot="1" x14ac:dyDescent="0.3">
      <c r="A32" s="392"/>
      <c r="B32" s="523" t="s">
        <v>288</v>
      </c>
      <c r="C32" s="514"/>
      <c r="D32" s="393"/>
      <c r="E32" s="393"/>
      <c r="F32" s="393"/>
      <c r="G32" s="393"/>
      <c r="H32" s="393"/>
      <c r="I32" s="402"/>
      <c r="M32" s="470"/>
      <c r="N32" s="343"/>
      <c r="O32" s="524" t="s">
        <v>289</v>
      </c>
      <c r="P32" s="440"/>
      <c r="Q32" s="440"/>
      <c r="R32" s="440"/>
      <c r="S32" s="467"/>
      <c r="T32" s="392"/>
    </row>
    <row r="33" spans="1:20" ht="15.95" customHeight="1" thickBot="1" x14ac:dyDescent="0.25">
      <c r="A33" s="392"/>
      <c r="B33" s="523" t="str">
        <f>IF(D7="NO","* Think Tank Establishment Fee depends on the Option selected (either 0.15% or 0.35%). If Option 2 is selected, an account fee of $20 pm applies ($10 per split).","")</f>
        <v>* Think Tank Establishment Fee depends on the Option selected (either 0.15% or 0.35%). If Option 2 is selected, an account fee of $20 pm applies ($10 per split).</v>
      </c>
      <c r="C33" s="525"/>
      <c r="D33" s="393"/>
      <c r="E33" s="393"/>
      <c r="F33" s="393"/>
      <c r="G33" s="393"/>
      <c r="H33" s="393"/>
      <c r="I33" s="402"/>
      <c r="M33" s="470"/>
      <c r="N33" s="343"/>
      <c r="O33" s="443" t="s">
        <v>290</v>
      </c>
      <c r="P33" s="440"/>
      <c r="Q33" s="440"/>
      <c r="R33" s="526">
        <f>-F13</f>
        <v>0</v>
      </c>
      <c r="S33" s="467"/>
      <c r="T33" s="392"/>
    </row>
    <row r="34" spans="1:20" ht="15.95" customHeight="1" thickBot="1" x14ac:dyDescent="0.25">
      <c r="A34" s="392"/>
      <c r="B34" s="523" t="s">
        <v>291</v>
      </c>
      <c r="C34" s="525"/>
      <c r="D34" s="393"/>
      <c r="E34" s="393"/>
      <c r="F34" s="393"/>
      <c r="G34" s="393"/>
      <c r="H34" s="393"/>
      <c r="I34" s="402"/>
      <c r="M34" s="470"/>
      <c r="N34" s="343"/>
      <c r="O34" s="439" t="s">
        <v>292</v>
      </c>
      <c r="P34" s="440"/>
      <c r="Q34" s="440"/>
      <c r="R34" s="526">
        <f>F23</f>
        <v>0</v>
      </c>
      <c r="S34" s="467"/>
      <c r="T34" s="392"/>
    </row>
    <row r="35" spans="1:20" ht="15.95" customHeight="1" thickBot="1" x14ac:dyDescent="0.25">
      <c r="A35" s="392"/>
      <c r="B35" s="523" t="s">
        <v>293</v>
      </c>
      <c r="C35" s="525"/>
      <c r="D35" s="393"/>
      <c r="E35" s="393"/>
      <c r="F35" s="393"/>
      <c r="G35" s="393"/>
      <c r="H35" s="393"/>
      <c r="I35" s="402"/>
      <c r="M35" s="470"/>
      <c r="N35" s="343"/>
      <c r="O35" s="443" t="str">
        <f xml:space="preserve"> E1 &amp; " Loan Funds"</f>
        <v>Thrive Loan Funds</v>
      </c>
      <c r="P35" s="440"/>
      <c r="Q35" s="440"/>
      <c r="R35" s="526">
        <f>F6</f>
        <v>0</v>
      </c>
      <c r="S35" s="467"/>
      <c r="T35" s="392"/>
    </row>
    <row r="36" spans="1:20" ht="15.95" customHeight="1" thickBot="1" x14ac:dyDescent="0.25">
      <c r="A36" s="392"/>
      <c r="B36" s="523" t="s">
        <v>294</v>
      </c>
      <c r="C36" s="525"/>
      <c r="D36" s="393"/>
      <c r="E36" s="393"/>
      <c r="F36" s="393"/>
      <c r="G36" s="393"/>
      <c r="H36" s="393"/>
      <c r="I36" s="402"/>
      <c r="M36" s="470"/>
      <c r="N36" s="343"/>
      <c r="O36" s="443" t="s">
        <v>295</v>
      </c>
      <c r="P36" s="440"/>
      <c r="Q36" s="440"/>
      <c r="R36" s="526">
        <f>IFERROR(-(R28+L28),"")</f>
        <v>-1100</v>
      </c>
      <c r="S36" s="506" t="s">
        <v>285</v>
      </c>
      <c r="T36" s="392"/>
    </row>
    <row r="37" spans="1:20" ht="15.95" customHeight="1" thickBot="1" x14ac:dyDescent="0.25">
      <c r="A37" s="392"/>
      <c r="B37" s="527" t="s">
        <v>296</v>
      </c>
      <c r="C37" s="527"/>
      <c r="D37" s="527"/>
      <c r="E37" s="527"/>
      <c r="F37" s="527"/>
      <c r="G37" s="527"/>
      <c r="H37" s="527"/>
      <c r="I37" s="527"/>
      <c r="J37" s="527"/>
      <c r="K37" s="527"/>
      <c r="L37" s="527"/>
      <c r="M37" s="470"/>
      <c r="N37" s="343"/>
      <c r="O37" s="443"/>
      <c r="P37" s="440"/>
      <c r="Q37" s="440"/>
      <c r="R37" s="440"/>
      <c r="S37" s="506"/>
      <c r="T37" s="392"/>
    </row>
    <row r="38" spans="1:20" ht="15.95" customHeight="1" thickBot="1" x14ac:dyDescent="0.25">
      <c r="A38" s="392"/>
      <c r="B38" s="527" t="s">
        <v>297</v>
      </c>
      <c r="C38" s="527"/>
      <c r="D38" s="527"/>
      <c r="E38" s="527"/>
      <c r="F38" s="527"/>
      <c r="G38" s="527"/>
      <c r="H38" s="527"/>
      <c r="I38" s="527"/>
      <c r="J38" s="527"/>
      <c r="K38" s="527"/>
      <c r="L38" s="527"/>
      <c r="M38" s="470"/>
      <c r="N38" s="343"/>
      <c r="O38" s="528" t="s">
        <v>298</v>
      </c>
      <c r="P38" s="440"/>
      <c r="Q38" s="440"/>
      <c r="R38" s="529">
        <f>SUM(R33:R36)</f>
        <v>-1100</v>
      </c>
      <c r="S38" s="506"/>
      <c r="T38" s="392"/>
    </row>
    <row r="39" spans="1:20" ht="13.5" customHeight="1" thickBot="1" x14ac:dyDescent="0.3">
      <c r="A39" s="392"/>
      <c r="B39" s="530" t="s">
        <v>299</v>
      </c>
      <c r="C39" s="525"/>
      <c r="D39" s="393"/>
      <c r="E39" s="393"/>
      <c r="F39" s="393"/>
      <c r="G39" s="393"/>
      <c r="H39" s="393"/>
      <c r="I39" s="402"/>
      <c r="M39" s="470"/>
      <c r="N39" s="343"/>
      <c r="O39" s="531" t="s">
        <v>300</v>
      </c>
      <c r="P39" s="440"/>
      <c r="Q39" s="440"/>
      <c r="R39" s="532"/>
      <c r="S39" s="533"/>
      <c r="T39" s="392"/>
    </row>
    <row r="40" spans="1:20" ht="15.95" customHeight="1" thickBot="1" x14ac:dyDescent="0.3">
      <c r="A40" s="392"/>
      <c r="B40" s="534" t="s">
        <v>301</v>
      </c>
      <c r="C40" s="525"/>
      <c r="D40" s="393"/>
      <c r="E40" s="393"/>
      <c r="F40" s="393"/>
      <c r="G40" s="393"/>
      <c r="H40" s="393"/>
      <c r="I40" s="402"/>
      <c r="M40" s="470"/>
      <c r="N40" s="343"/>
      <c r="O40" s="443" t="s">
        <v>302</v>
      </c>
      <c r="P40" s="440"/>
      <c r="Q40" s="440"/>
      <c r="R40" s="526">
        <f>F11-F19+L6/11+L9/11+R10/11+R16/11+R21/11+R22/11</f>
        <v>100</v>
      </c>
      <c r="S40" s="533"/>
      <c r="T40" s="392"/>
    </row>
    <row r="41" spans="1:20" ht="15.95" customHeight="1" thickBot="1" x14ac:dyDescent="0.3">
      <c r="A41" s="392"/>
      <c r="B41" s="534" t="s">
        <v>303</v>
      </c>
      <c r="C41" s="525"/>
      <c r="D41" s="393"/>
      <c r="E41" s="393"/>
      <c r="F41" s="393"/>
      <c r="G41" s="393"/>
      <c r="H41" s="393"/>
      <c r="I41" s="402"/>
      <c r="M41" s="470"/>
      <c r="N41" s="343"/>
      <c r="O41" s="443" t="s">
        <v>304</v>
      </c>
      <c r="P41" s="440"/>
      <c r="Q41" s="440"/>
      <c r="R41" s="535">
        <f>R38+R40</f>
        <v>-1000</v>
      </c>
      <c r="S41" s="467"/>
      <c r="T41" s="392"/>
    </row>
    <row r="42" spans="1:20" ht="15.95" customHeight="1" x14ac:dyDescent="0.25">
      <c r="A42" s="392"/>
      <c r="B42" s="534" t="s">
        <v>305</v>
      </c>
      <c r="C42" s="525"/>
      <c r="D42" s="393"/>
      <c r="E42" s="393"/>
      <c r="F42" s="393"/>
      <c r="G42" s="393"/>
      <c r="H42" s="393"/>
      <c r="I42" s="402"/>
      <c r="M42" s="470"/>
      <c r="N42" s="343"/>
      <c r="O42" s="440"/>
      <c r="P42" s="440"/>
      <c r="Q42" s="440"/>
      <c r="R42" s="440"/>
      <c r="S42" s="467"/>
      <c r="T42" s="392"/>
    </row>
    <row r="43" spans="1:20" ht="15.95" customHeight="1" x14ac:dyDescent="0.25">
      <c r="A43" s="392"/>
      <c r="B43" s="534" t="s">
        <v>306</v>
      </c>
      <c r="C43" s="525"/>
      <c r="D43" s="393"/>
      <c r="E43" s="393"/>
      <c r="F43" s="393"/>
      <c r="G43" s="393"/>
      <c r="H43" s="393"/>
      <c r="I43" s="402"/>
      <c r="M43" s="470"/>
      <c r="N43" s="343"/>
      <c r="O43" s="440"/>
      <c r="P43" s="440"/>
      <c r="Q43" s="440"/>
      <c r="R43" s="440"/>
      <c r="S43" s="467"/>
      <c r="T43" s="392"/>
    </row>
    <row r="44" spans="1:20" ht="11.25" customHeight="1" thickBot="1" x14ac:dyDescent="0.25">
      <c r="A44" s="396"/>
      <c r="B44" s="536"/>
      <c r="C44" s="397"/>
      <c r="D44" s="397"/>
      <c r="E44" s="397"/>
      <c r="F44" s="397"/>
      <c r="G44" s="397"/>
      <c r="H44" s="397"/>
      <c r="I44" s="537"/>
      <c r="J44" s="538"/>
      <c r="K44" s="538"/>
      <c r="L44" s="538"/>
      <c r="M44" s="539"/>
      <c r="N44" s="380"/>
      <c r="O44" s="511"/>
      <c r="P44" s="512"/>
      <c r="Q44" s="512"/>
      <c r="R44" s="512"/>
      <c r="S44" s="513"/>
      <c r="T44" s="392"/>
    </row>
    <row r="45" spans="1:20" s="540" customFormat="1" ht="13.5" hidden="1" x14ac:dyDescent="0.25">
      <c r="B45" s="541" t="str">
        <f>A1</f>
        <v>11.12.2025</v>
      </c>
      <c r="C45" s="542"/>
      <c r="D45" s="542"/>
      <c r="E45" s="542"/>
      <c r="F45" s="542"/>
      <c r="I45" s="543"/>
      <c r="O45" s="543"/>
    </row>
    <row r="46" spans="1:20" s="544" customFormat="1" hidden="1" x14ac:dyDescent="0.2">
      <c r="B46" s="481"/>
      <c r="C46" s="480"/>
      <c r="D46" s="480"/>
      <c r="E46" s="480"/>
      <c r="F46" s="545"/>
      <c r="I46" s="546"/>
      <c r="O46" s="546"/>
    </row>
    <row r="47" spans="1:20" s="448" customFormat="1" hidden="1" x14ac:dyDescent="0.2">
      <c r="B47" s="471" t="s">
        <v>73</v>
      </c>
      <c r="C47" s="547" t="str">
        <f>IF(D7="NO","","Residential")</f>
        <v/>
      </c>
      <c r="D47" s="548"/>
      <c r="E47" s="548"/>
      <c r="F47" s="549"/>
    </row>
    <row r="48" spans="1:20" s="448" customFormat="1" hidden="1" x14ac:dyDescent="0.2">
      <c r="B48" s="471" t="s">
        <v>72</v>
      </c>
      <c r="C48" s="547" t="str">
        <f>IF(D7="NO","","Commercial")</f>
        <v/>
      </c>
      <c r="D48" s="548"/>
      <c r="E48" s="548"/>
      <c r="F48" s="549"/>
    </row>
    <row r="49" spans="2:8" s="448" customFormat="1" hidden="1" x14ac:dyDescent="0.2">
      <c r="D49" s="548"/>
      <c r="E49" s="548"/>
      <c r="F49" s="549"/>
    </row>
    <row r="50" spans="2:8" s="448" customFormat="1" hidden="1" x14ac:dyDescent="0.2">
      <c r="D50" s="548"/>
      <c r="E50" s="548"/>
      <c r="F50" s="549"/>
    </row>
    <row r="51" spans="2:8" s="448" customFormat="1" hidden="1" x14ac:dyDescent="0.2">
      <c r="B51" s="471" t="str">
        <f>IF(OR(D7="No",AND(D7="yes",F7="Commercial")),"Option 1 - 0.95%","")</f>
        <v>Option 1 - 0.95%</v>
      </c>
      <c r="C51" s="550">
        <f>IF(B26="*Option 2*",0.15%,0.35%)</f>
        <v>3.4999999999999996E-3</v>
      </c>
      <c r="D51" s="551">
        <v>1.35E-2</v>
      </c>
      <c r="E51" s="540"/>
      <c r="F51" s="552"/>
      <c r="G51" s="540"/>
      <c r="H51" s="540"/>
    </row>
    <row r="52" spans="2:8" s="448" customFormat="1" hidden="1" x14ac:dyDescent="0.2">
      <c r="B52" s="471" t="str">
        <f>IF(D7="NO","Option 2 - 0.75%","")</f>
        <v>Option 2 - 0.75%</v>
      </c>
      <c r="C52" s="550">
        <f>IF(B26="*Option 2*",0.35%,0.15%)</f>
        <v>1.5E-3</v>
      </c>
      <c r="D52" s="551">
        <v>7.4999999999999997E-3</v>
      </c>
      <c r="E52" s="540"/>
      <c r="F52" s="552"/>
      <c r="G52" s="540"/>
      <c r="H52" s="540"/>
    </row>
    <row r="53" spans="2:8" s="448" customFormat="1" hidden="1" x14ac:dyDescent="0.2">
      <c r="B53" s="448" t="s">
        <v>307</v>
      </c>
      <c r="C53" s="553" t="s">
        <v>40</v>
      </c>
      <c r="E53" s="540"/>
      <c r="F53" s="552"/>
      <c r="G53" s="540"/>
      <c r="H53" s="540"/>
    </row>
    <row r="54" spans="2:8" s="448" customFormat="1" hidden="1" x14ac:dyDescent="0.2">
      <c r="B54" s="448">
        <f>B26</f>
        <v>0</v>
      </c>
      <c r="C54" s="551">
        <f>IF(B54=B51,D51-C51,IF(B54=B52,D52-C52,0))</f>
        <v>0</v>
      </c>
      <c r="D54" s="554">
        <f>C54*F6</f>
        <v>0</v>
      </c>
      <c r="E54" s="540"/>
      <c r="F54" s="552"/>
      <c r="G54" s="540"/>
      <c r="H54" s="540"/>
    </row>
    <row r="55" spans="2:8" s="448" customFormat="1" hidden="1" x14ac:dyDescent="0.2">
      <c r="C55" s="551">
        <f>IF(D27&gt;C54,D27-C54,0)</f>
        <v>6.0000000000000001E-3</v>
      </c>
      <c r="D55" s="548"/>
      <c r="E55" s="555"/>
      <c r="F55" s="552"/>
      <c r="G55" s="540"/>
      <c r="H55" s="540"/>
    </row>
    <row r="56" spans="2:8" s="448" customFormat="1" hidden="1" x14ac:dyDescent="0.2">
      <c r="D56" s="548"/>
      <c r="E56" s="555"/>
      <c r="F56" s="556"/>
      <c r="G56" s="540"/>
      <c r="H56" s="540"/>
    </row>
    <row r="57" spans="2:8" s="544" customFormat="1" hidden="1" x14ac:dyDescent="0.2">
      <c r="B57" s="448"/>
      <c r="C57" s="448"/>
      <c r="D57" s="548"/>
      <c r="E57" s="555"/>
      <c r="F57" s="556"/>
      <c r="G57" s="540"/>
      <c r="H57" s="540"/>
    </row>
    <row r="58" spans="2:8" s="544" customFormat="1" hidden="1" x14ac:dyDescent="0.2">
      <c r="B58" s="540"/>
      <c r="C58" s="540"/>
      <c r="D58" s="555"/>
      <c r="E58" s="555"/>
      <c r="F58" s="556"/>
      <c r="G58" s="540"/>
      <c r="H58" s="540"/>
    </row>
    <row r="59" spans="2:8" s="544" customFormat="1" hidden="1" x14ac:dyDescent="0.2">
      <c r="B59" s="540"/>
      <c r="C59" s="540"/>
      <c r="D59" s="555"/>
      <c r="E59" s="555"/>
      <c r="F59" s="556"/>
      <c r="G59" s="540"/>
      <c r="H59" s="540"/>
    </row>
    <row r="60" spans="2:8" s="544" customFormat="1" hidden="1" x14ac:dyDescent="0.2">
      <c r="B60" s="540"/>
      <c r="C60" s="540"/>
      <c r="D60" s="555"/>
      <c r="E60" s="555"/>
      <c r="F60" s="556"/>
      <c r="G60" s="540"/>
      <c r="H60" s="540"/>
    </row>
    <row r="61" spans="2:8" s="544" customFormat="1" hidden="1" x14ac:dyDescent="0.2">
      <c r="B61" s="540"/>
      <c r="C61" s="540"/>
      <c r="D61" s="555"/>
      <c r="E61" s="555"/>
      <c r="F61" s="556"/>
      <c r="G61" s="540"/>
      <c r="H61" s="540"/>
    </row>
    <row r="62" spans="2:8" s="544" customFormat="1" hidden="1" x14ac:dyDescent="0.2">
      <c r="D62" s="557"/>
      <c r="E62" s="557"/>
      <c r="F62" s="545"/>
    </row>
    <row r="63" spans="2:8" s="544" customFormat="1" hidden="1" x14ac:dyDescent="0.2">
      <c r="D63" s="557"/>
      <c r="E63" s="557"/>
      <c r="F63" s="545"/>
    </row>
    <row r="64" spans="2:8" s="544" customFormat="1" hidden="1" x14ac:dyDescent="0.2">
      <c r="D64" s="557"/>
      <c r="E64" s="557"/>
      <c r="F64" s="545"/>
    </row>
    <row r="65" spans="2:7" s="544" customFormat="1" hidden="1" x14ac:dyDescent="0.2">
      <c r="D65" s="557"/>
      <c r="E65" s="557"/>
      <c r="F65" s="545"/>
    </row>
    <row r="66" spans="2:7" s="544" customFormat="1" hidden="1" x14ac:dyDescent="0.2"/>
    <row r="67" spans="2:7" s="544" customFormat="1" hidden="1" x14ac:dyDescent="0.2">
      <c r="G67" s="558"/>
    </row>
    <row r="68" spans="2:7" s="544" customFormat="1" hidden="1" x14ac:dyDescent="0.2">
      <c r="G68" s="558"/>
    </row>
    <row r="69" spans="2:7" s="544" customFormat="1" hidden="1" x14ac:dyDescent="0.2">
      <c r="B69" s="559" t="s">
        <v>308</v>
      </c>
      <c r="G69" s="558"/>
    </row>
    <row r="70" spans="2:7" s="544" customFormat="1" hidden="1" x14ac:dyDescent="0.2">
      <c r="B70" s="560" t="s">
        <v>309</v>
      </c>
      <c r="G70" s="558"/>
    </row>
    <row r="71" spans="2:7" s="544" customFormat="1" hidden="1" x14ac:dyDescent="0.2">
      <c r="B71" s="560" t="s">
        <v>310</v>
      </c>
      <c r="G71" s="558"/>
    </row>
    <row r="72" spans="2:7" s="544" customFormat="1" hidden="1" x14ac:dyDescent="0.2">
      <c r="B72" s="560" t="s">
        <v>311</v>
      </c>
    </row>
    <row r="73" spans="2:7" s="544" customFormat="1" hidden="1" x14ac:dyDescent="0.2">
      <c r="B73" s="560" t="s">
        <v>312</v>
      </c>
    </row>
    <row r="74" spans="2:7" s="544" customFormat="1" hidden="1" x14ac:dyDescent="0.2">
      <c r="B74" s="560" t="s">
        <v>313</v>
      </c>
    </row>
    <row r="75" spans="2:7" s="544" customFormat="1" hidden="1" x14ac:dyDescent="0.2">
      <c r="B75" s="560" t="s">
        <v>314</v>
      </c>
    </row>
    <row r="76" spans="2:7" s="544" customFormat="1" hidden="1" x14ac:dyDescent="0.2">
      <c r="B76" s="561"/>
    </row>
    <row r="77" spans="2:7" s="544" customFormat="1" hidden="1" x14ac:dyDescent="0.2">
      <c r="B77" s="560" t="s">
        <v>72</v>
      </c>
    </row>
    <row r="78" spans="2:7" s="544" customFormat="1" hidden="1" x14ac:dyDescent="0.2">
      <c r="B78" s="561" t="s">
        <v>73</v>
      </c>
    </row>
    <row r="79" spans="2:7" s="544" customFormat="1" hidden="1" x14ac:dyDescent="0.2"/>
    <row r="80" spans="2:7" s="544" customFormat="1" hidden="1" x14ac:dyDescent="0.2"/>
    <row r="81" s="544" customFormat="1" hidden="1" x14ac:dyDescent="0.2"/>
    <row r="82" s="544" customFormat="1" hidden="1" x14ac:dyDescent="0.2"/>
    <row r="83" s="544" customFormat="1" hidden="1" x14ac:dyDescent="0.2"/>
    <row r="84" s="544" customFormat="1" hidden="1" x14ac:dyDescent="0.2"/>
    <row r="85" s="544" customFormat="1" hidden="1" x14ac:dyDescent="0.2"/>
    <row r="86" s="544" customFormat="1" hidden="1" x14ac:dyDescent="0.2"/>
    <row r="87" s="544" customFormat="1" hidden="1" x14ac:dyDescent="0.2"/>
    <row r="88" s="544" customFormat="1" hidden="1" x14ac:dyDescent="0.2"/>
    <row r="89" s="544" customFormat="1" hidden="1" x14ac:dyDescent="0.2"/>
    <row r="90" s="544" customFormat="1" hidden="1" x14ac:dyDescent="0.2"/>
    <row r="91" s="544" customFormat="1" hidden="1" x14ac:dyDescent="0.2"/>
    <row r="92" s="544" customFormat="1" hidden="1" x14ac:dyDescent="0.2"/>
    <row r="93" s="544" customFormat="1" hidden="1" x14ac:dyDescent="0.2"/>
    <row r="94" s="544" customFormat="1" hidden="1" x14ac:dyDescent="0.2"/>
    <row r="95" s="544" customFormat="1" hidden="1" x14ac:dyDescent="0.2"/>
    <row r="96" s="544" customFormat="1" hidden="1" x14ac:dyDescent="0.2"/>
    <row r="97" s="544" customFormat="1" hidden="1" x14ac:dyDescent="0.2"/>
    <row r="98" s="544" customFormat="1" hidden="1" x14ac:dyDescent="0.2"/>
    <row r="99" s="544" customFormat="1" hidden="1" x14ac:dyDescent="0.2"/>
    <row r="100" s="544" customFormat="1" hidden="1" x14ac:dyDescent="0.2"/>
    <row r="101" s="544" customFormat="1" hidden="1" x14ac:dyDescent="0.2"/>
    <row r="102" s="544" customFormat="1" hidden="1" x14ac:dyDescent="0.2"/>
    <row r="103" s="544" customFormat="1" hidden="1" x14ac:dyDescent="0.2"/>
    <row r="104" s="544" customFormat="1" hidden="1" x14ac:dyDescent="0.2"/>
    <row r="105" s="544" customFormat="1" hidden="1" x14ac:dyDescent="0.2"/>
    <row r="106" s="544" customFormat="1" hidden="1" x14ac:dyDescent="0.2"/>
    <row r="107" s="544" customFormat="1" hidden="1" x14ac:dyDescent="0.2"/>
    <row r="108" s="544" customFormat="1" hidden="1" x14ac:dyDescent="0.2"/>
    <row r="109" s="544" customFormat="1" hidden="1" x14ac:dyDescent="0.2"/>
    <row r="110" s="544" customFormat="1" hidden="1" x14ac:dyDescent="0.2"/>
    <row r="111" s="544" customFormat="1" hidden="1" x14ac:dyDescent="0.2"/>
    <row r="112" s="544" customFormat="1" hidden="1" x14ac:dyDescent="0.2"/>
    <row r="113" s="544" customFormat="1" hidden="1" x14ac:dyDescent="0.2"/>
    <row r="114" s="544" customFormat="1" hidden="1" x14ac:dyDescent="0.2"/>
    <row r="115" s="544" customFormat="1" hidden="1" x14ac:dyDescent="0.2"/>
    <row r="116" s="544" customFormat="1" hidden="1" x14ac:dyDescent="0.2"/>
    <row r="117" s="540" customFormat="1" hidden="1" x14ac:dyDescent="0.2"/>
    <row r="118" s="540" customFormat="1" hidden="1" x14ac:dyDescent="0.2"/>
    <row r="119" s="540" customFormat="1" hidden="1" x14ac:dyDescent="0.2"/>
    <row r="120" s="540" customFormat="1" hidden="1" x14ac:dyDescent="0.2"/>
    <row r="121" s="540" customFormat="1" hidden="1" x14ac:dyDescent="0.2"/>
    <row r="122" s="540" customFormat="1" hidden="1" x14ac:dyDescent="0.2"/>
    <row r="123" s="540" customFormat="1" hidden="1" x14ac:dyDescent="0.2"/>
    <row r="124" s="540" customFormat="1" hidden="1" x14ac:dyDescent="0.2"/>
    <row r="125" s="540" customFormat="1" hidden="1" x14ac:dyDescent="0.2"/>
    <row r="126" s="540" customFormat="1" hidden="1" x14ac:dyDescent="0.2"/>
    <row r="127" s="540" customFormat="1" hidden="1" x14ac:dyDescent="0.2"/>
    <row r="128" s="540" customFormat="1" hidden="1" x14ac:dyDescent="0.2"/>
    <row r="129" s="540" customFormat="1" hidden="1" x14ac:dyDescent="0.2"/>
    <row r="130" s="540" customFormat="1" hidden="1" x14ac:dyDescent="0.2"/>
    <row r="131" s="540" customFormat="1" hidden="1" x14ac:dyDescent="0.2"/>
    <row r="132" s="540" customFormat="1" hidden="1" x14ac:dyDescent="0.2"/>
    <row r="133" s="540" customFormat="1" hidden="1" x14ac:dyDescent="0.2"/>
    <row r="134" s="540" customFormat="1" hidden="1" x14ac:dyDescent="0.2"/>
    <row r="135" s="540" customFormat="1" hidden="1" x14ac:dyDescent="0.2"/>
    <row r="136" s="540" customFormat="1" hidden="1" x14ac:dyDescent="0.2"/>
    <row r="137" s="540" customFormat="1" hidden="1" x14ac:dyDescent="0.2"/>
    <row r="138" s="540" customFormat="1" hidden="1" x14ac:dyDescent="0.2"/>
    <row r="139" s="540" customFormat="1" hidden="1" x14ac:dyDescent="0.2"/>
    <row r="140" s="540" customFormat="1" hidden="1" x14ac:dyDescent="0.2"/>
    <row r="141" s="540" customFormat="1" hidden="1" x14ac:dyDescent="0.2"/>
    <row r="142" s="540" customFormat="1" hidden="1" x14ac:dyDescent="0.2"/>
    <row r="143" s="540" customFormat="1" hidden="1" x14ac:dyDescent="0.2"/>
    <row r="144" s="540" customFormat="1" hidden="1" x14ac:dyDescent="0.2"/>
    <row r="145" s="540" customFormat="1" hidden="1" x14ac:dyDescent="0.2"/>
    <row r="146" s="540" customFormat="1" hidden="1" x14ac:dyDescent="0.2"/>
    <row r="147" s="540" customFormat="1" hidden="1" x14ac:dyDescent="0.2"/>
    <row r="148" s="540" customFormat="1" hidden="1" x14ac:dyDescent="0.2"/>
    <row r="149" s="540" customFormat="1" hidden="1" x14ac:dyDescent="0.2"/>
    <row r="150" s="540" customFormat="1" hidden="1" x14ac:dyDescent="0.2"/>
    <row r="151" s="540" customFormat="1" x14ac:dyDescent="0.2"/>
    <row r="152" s="540" customFormat="1" x14ac:dyDescent="0.2"/>
    <row r="153" s="540" customFormat="1" x14ac:dyDescent="0.2"/>
    <row r="154" s="540" customFormat="1" x14ac:dyDescent="0.2"/>
    <row r="155" s="540" customFormat="1" x14ac:dyDescent="0.2"/>
    <row r="156" s="540" customFormat="1" x14ac:dyDescent="0.2"/>
    <row r="157" s="540" customFormat="1" x14ac:dyDescent="0.2"/>
    <row r="158" s="540" customFormat="1" x14ac:dyDescent="0.2"/>
    <row r="159" s="540" customFormat="1" x14ac:dyDescent="0.2"/>
    <row r="160" s="540" customFormat="1" x14ac:dyDescent="0.2"/>
    <row r="161" s="540" customFormat="1" x14ac:dyDescent="0.2"/>
    <row r="162" s="540" customFormat="1" x14ac:dyDescent="0.2"/>
    <row r="163" s="540" customFormat="1" x14ac:dyDescent="0.2"/>
    <row r="164" s="540" customFormat="1" x14ac:dyDescent="0.2"/>
    <row r="165" s="540" customFormat="1" x14ac:dyDescent="0.2"/>
    <row r="166" s="540" customFormat="1" x14ac:dyDescent="0.2"/>
    <row r="167" s="540" customFormat="1" x14ac:dyDescent="0.2"/>
    <row r="168" s="540" customFormat="1" x14ac:dyDescent="0.2"/>
    <row r="169" s="540" customFormat="1" x14ac:dyDescent="0.2"/>
    <row r="170" s="540" customFormat="1" x14ac:dyDescent="0.2"/>
    <row r="171" s="540" customFormat="1" x14ac:dyDescent="0.2"/>
    <row r="172" s="540" customFormat="1" x14ac:dyDescent="0.2"/>
    <row r="173" s="540" customFormat="1" x14ac:dyDescent="0.2"/>
    <row r="174" s="540" customFormat="1" x14ac:dyDescent="0.2"/>
    <row r="175" s="540" customFormat="1" x14ac:dyDescent="0.2"/>
    <row r="176" s="540" customFormat="1" x14ac:dyDescent="0.2"/>
    <row r="177" s="540" customFormat="1" x14ac:dyDescent="0.2"/>
    <row r="178" s="540" customFormat="1" x14ac:dyDescent="0.2"/>
    <row r="179" s="540" customFormat="1" x14ac:dyDescent="0.2"/>
    <row r="180" s="540" customFormat="1" x14ac:dyDescent="0.2"/>
    <row r="181" s="540" customFormat="1" x14ac:dyDescent="0.2"/>
    <row r="182" s="540" customFormat="1" x14ac:dyDescent="0.2"/>
    <row r="183" s="540" customFormat="1" x14ac:dyDescent="0.2"/>
    <row r="184" s="540" customFormat="1" x14ac:dyDescent="0.2"/>
    <row r="185" s="540" customFormat="1" x14ac:dyDescent="0.2"/>
    <row r="186" s="540" customFormat="1" x14ac:dyDescent="0.2"/>
    <row r="187" s="540" customFormat="1" x14ac:dyDescent="0.2"/>
    <row r="188" s="540" customFormat="1" x14ac:dyDescent="0.2"/>
    <row r="189" s="540" customFormat="1" x14ac:dyDescent="0.2"/>
    <row r="190" s="540" customFormat="1" x14ac:dyDescent="0.2"/>
    <row r="191" s="540" customFormat="1" x14ac:dyDescent="0.2"/>
    <row r="192" s="540" customFormat="1" x14ac:dyDescent="0.2"/>
    <row r="193" s="540" customFormat="1" x14ac:dyDescent="0.2"/>
    <row r="194" s="540" customFormat="1" x14ac:dyDescent="0.2"/>
    <row r="195" s="540" customFormat="1" x14ac:dyDescent="0.2"/>
    <row r="196" s="540" customFormat="1" x14ac:dyDescent="0.2"/>
    <row r="197" s="540" customFormat="1" x14ac:dyDescent="0.2"/>
    <row r="198" s="540" customFormat="1" x14ac:dyDescent="0.2"/>
    <row r="199" s="540" customFormat="1" x14ac:dyDescent="0.2"/>
    <row r="200" s="540" customFormat="1" x14ac:dyDescent="0.2"/>
    <row r="201" s="540" customFormat="1" x14ac:dyDescent="0.2"/>
    <row r="202" s="540" customFormat="1" x14ac:dyDescent="0.2"/>
    <row r="203" s="540" customFormat="1" x14ac:dyDescent="0.2"/>
    <row r="204" s="540" customFormat="1" x14ac:dyDescent="0.2"/>
    <row r="205" s="540" customFormat="1" x14ac:dyDescent="0.2"/>
    <row r="206" s="540" customFormat="1" x14ac:dyDescent="0.2"/>
    <row r="207" s="540" customFormat="1" x14ac:dyDescent="0.2"/>
    <row r="208" s="540" customFormat="1" x14ac:dyDescent="0.2"/>
    <row r="209" s="540" customFormat="1" x14ac:dyDescent="0.2"/>
    <row r="210" s="540" customFormat="1" x14ac:dyDescent="0.2"/>
    <row r="211" s="540" customFormat="1" x14ac:dyDescent="0.2"/>
    <row r="212" s="540" customFormat="1" x14ac:dyDescent="0.2"/>
    <row r="213" s="540" customFormat="1" x14ac:dyDescent="0.2"/>
    <row r="214" s="540" customFormat="1" x14ac:dyDescent="0.2"/>
    <row r="215" s="540" customFormat="1" x14ac:dyDescent="0.2"/>
    <row r="216" s="540" customFormat="1" x14ac:dyDescent="0.2"/>
    <row r="217" s="540" customFormat="1" x14ac:dyDescent="0.2"/>
    <row r="218" s="540" customFormat="1" x14ac:dyDescent="0.2"/>
    <row r="219" s="540" customFormat="1" x14ac:dyDescent="0.2"/>
    <row r="220" s="540" customFormat="1" x14ac:dyDescent="0.2"/>
    <row r="221" s="540" customFormat="1" x14ac:dyDescent="0.2"/>
    <row r="222" s="540" customFormat="1" x14ac:dyDescent="0.2"/>
    <row r="223" s="540" customFormat="1" x14ac:dyDescent="0.2"/>
    <row r="224" s="540" customFormat="1" x14ac:dyDescent="0.2"/>
    <row r="225" s="540" customFormat="1" x14ac:dyDescent="0.2"/>
    <row r="226" s="540" customFormat="1" x14ac:dyDescent="0.2"/>
    <row r="227" s="540" customFormat="1" x14ac:dyDescent="0.2"/>
    <row r="228" s="540" customFormat="1" x14ac:dyDescent="0.2"/>
    <row r="229" s="540" customFormat="1" x14ac:dyDescent="0.2"/>
    <row r="230" s="540" customFormat="1" x14ac:dyDescent="0.2"/>
    <row r="231" s="540" customFormat="1" x14ac:dyDescent="0.2"/>
    <row r="232" s="540" customFormat="1" x14ac:dyDescent="0.2"/>
    <row r="233" s="540" customFormat="1" x14ac:dyDescent="0.2"/>
    <row r="234" s="540" customFormat="1" x14ac:dyDescent="0.2"/>
    <row r="235" s="540" customFormat="1" x14ac:dyDescent="0.2"/>
    <row r="236" s="540" customFormat="1" x14ac:dyDescent="0.2"/>
    <row r="237" s="540" customFormat="1" x14ac:dyDescent="0.2"/>
    <row r="238" s="540" customFormat="1" x14ac:dyDescent="0.2"/>
    <row r="239" s="540" customFormat="1" x14ac:dyDescent="0.2"/>
    <row r="240" s="540" customFormat="1" x14ac:dyDescent="0.2"/>
    <row r="241" s="540" customFormat="1" x14ac:dyDescent="0.2"/>
    <row r="242" s="540" customFormat="1" x14ac:dyDescent="0.2"/>
    <row r="243" s="540" customFormat="1" x14ac:dyDescent="0.2"/>
    <row r="244" s="540" customFormat="1" x14ac:dyDescent="0.2"/>
    <row r="245" s="540" customFormat="1" x14ac:dyDescent="0.2"/>
    <row r="246" s="540" customFormat="1" x14ac:dyDescent="0.2"/>
    <row r="247" s="540" customFormat="1" x14ac:dyDescent="0.2"/>
    <row r="248" s="540" customFormat="1" x14ac:dyDescent="0.2"/>
    <row r="249" s="540" customFormat="1" x14ac:dyDescent="0.2"/>
    <row r="250" s="540" customFormat="1" x14ac:dyDescent="0.2"/>
    <row r="251" s="540" customFormat="1" x14ac:dyDescent="0.2"/>
    <row r="252" s="540" customFormat="1" x14ac:dyDescent="0.2"/>
    <row r="253" s="540" customFormat="1" x14ac:dyDescent="0.2"/>
    <row r="254" s="540" customFormat="1" x14ac:dyDescent="0.2"/>
    <row r="255" s="540" customFormat="1" x14ac:dyDescent="0.2"/>
    <row r="256" s="540" customFormat="1" x14ac:dyDescent="0.2"/>
    <row r="257" s="540" customFormat="1" x14ac:dyDescent="0.2"/>
    <row r="258" s="540" customFormat="1" x14ac:dyDescent="0.2"/>
    <row r="259" s="540" customFormat="1" x14ac:dyDescent="0.2"/>
    <row r="260" s="540" customFormat="1" x14ac:dyDescent="0.2"/>
    <row r="261" s="540" customFormat="1" x14ac:dyDescent="0.2"/>
    <row r="262" s="540" customFormat="1" x14ac:dyDescent="0.2"/>
    <row r="263" s="540" customFormat="1" x14ac:dyDescent="0.2"/>
    <row r="264" s="540" customFormat="1" x14ac:dyDescent="0.2"/>
    <row r="265" s="540" customFormat="1" x14ac:dyDescent="0.2"/>
    <row r="266" s="540" customFormat="1" x14ac:dyDescent="0.2"/>
    <row r="267" s="540" customFormat="1" x14ac:dyDescent="0.2"/>
    <row r="268" s="540" customFormat="1" x14ac:dyDescent="0.2"/>
    <row r="269" s="540" customFormat="1" x14ac:dyDescent="0.2"/>
    <row r="270" s="540" customFormat="1" x14ac:dyDescent="0.2"/>
    <row r="271" s="540" customFormat="1" x14ac:dyDescent="0.2"/>
    <row r="272" s="540" customFormat="1" x14ac:dyDescent="0.2"/>
    <row r="273" s="540" customFormat="1" x14ac:dyDescent="0.2"/>
    <row r="274" s="540" customFormat="1" x14ac:dyDescent="0.2"/>
    <row r="275" s="540" customFormat="1" x14ac:dyDescent="0.2"/>
    <row r="276" s="540" customFormat="1" x14ac:dyDescent="0.2"/>
    <row r="277" s="540" customFormat="1" x14ac:dyDescent="0.2"/>
    <row r="278" s="540" customFormat="1" x14ac:dyDescent="0.2"/>
    <row r="279" s="540" customFormat="1" x14ac:dyDescent="0.2"/>
    <row r="280" s="540" customFormat="1" x14ac:dyDescent="0.2"/>
    <row r="281" s="540" customFormat="1" x14ac:dyDescent="0.2"/>
    <row r="282" s="540" customFormat="1" x14ac:dyDescent="0.2"/>
    <row r="283" s="540" customFormat="1" x14ac:dyDescent="0.2"/>
    <row r="284" s="540" customFormat="1" x14ac:dyDescent="0.2"/>
    <row r="285" s="540" customFormat="1" x14ac:dyDescent="0.2"/>
    <row r="286" s="540" customFormat="1" x14ac:dyDescent="0.2"/>
    <row r="287" s="540" customFormat="1" x14ac:dyDescent="0.2"/>
    <row r="288" s="540" customFormat="1" x14ac:dyDescent="0.2"/>
    <row r="289" s="540" customFormat="1" x14ac:dyDescent="0.2"/>
    <row r="290" s="540" customFormat="1" x14ac:dyDescent="0.2"/>
    <row r="291" s="540" customFormat="1" x14ac:dyDescent="0.2"/>
    <row r="292" s="540" customFormat="1" x14ac:dyDescent="0.2"/>
    <row r="293" s="540" customFormat="1" x14ac:dyDescent="0.2"/>
    <row r="294" s="540" customFormat="1" x14ac:dyDescent="0.2"/>
    <row r="295" s="540" customFormat="1" x14ac:dyDescent="0.2"/>
    <row r="296" s="540" customFormat="1" x14ac:dyDescent="0.2"/>
    <row r="297" s="540" customFormat="1" x14ac:dyDescent="0.2"/>
    <row r="298" s="540" customFormat="1" x14ac:dyDescent="0.2"/>
    <row r="299" s="540" customFormat="1" x14ac:dyDescent="0.2"/>
    <row r="300" s="540" customFormat="1" x14ac:dyDescent="0.2"/>
    <row r="301" s="540" customFormat="1" x14ac:dyDescent="0.2"/>
    <row r="302" s="540" customFormat="1" x14ac:dyDescent="0.2"/>
    <row r="303" s="540" customFormat="1" x14ac:dyDescent="0.2"/>
    <row r="304" s="540" customFormat="1" x14ac:dyDescent="0.2"/>
    <row r="305" s="540" customFormat="1" x14ac:dyDescent="0.2"/>
    <row r="306" s="540" customFormat="1" x14ac:dyDescent="0.2"/>
    <row r="307" s="540" customFormat="1" x14ac:dyDescent="0.2"/>
    <row r="308" s="540" customFormat="1" x14ac:dyDescent="0.2"/>
    <row r="309" s="540" customFormat="1" x14ac:dyDescent="0.2"/>
    <row r="310" s="540" customFormat="1" x14ac:dyDescent="0.2"/>
    <row r="311" s="540" customFormat="1" x14ac:dyDescent="0.2"/>
    <row r="312" s="540" customFormat="1" x14ac:dyDescent="0.2"/>
    <row r="313" s="540" customFormat="1" x14ac:dyDescent="0.2"/>
    <row r="314" s="540" customFormat="1" x14ac:dyDescent="0.2"/>
    <row r="315" s="540" customFormat="1" x14ac:dyDescent="0.2"/>
    <row r="316" s="540" customFormat="1" x14ac:dyDescent="0.2"/>
    <row r="317" s="540" customFormat="1" x14ac:dyDescent="0.2"/>
    <row r="318" s="540" customFormat="1" x14ac:dyDescent="0.2"/>
    <row r="319" s="540" customFormat="1" x14ac:dyDescent="0.2"/>
    <row r="320" s="540" customFormat="1" x14ac:dyDescent="0.2"/>
    <row r="321" s="540" customFormat="1" x14ac:dyDescent="0.2"/>
    <row r="322" s="540" customFormat="1" x14ac:dyDescent="0.2"/>
    <row r="323" s="540" customFormat="1" x14ac:dyDescent="0.2"/>
    <row r="324" s="540" customFormat="1" x14ac:dyDescent="0.2"/>
    <row r="325" s="540" customFormat="1" x14ac:dyDescent="0.2"/>
    <row r="326" s="540" customFormat="1" x14ac:dyDescent="0.2"/>
    <row r="327" s="540" customFormat="1" x14ac:dyDescent="0.2"/>
    <row r="328" s="540" customFormat="1" x14ac:dyDescent="0.2"/>
    <row r="329" s="540" customFormat="1" x14ac:dyDescent="0.2"/>
    <row r="330" s="540" customFormat="1" x14ac:dyDescent="0.2"/>
    <row r="331" s="540" customFormat="1" x14ac:dyDescent="0.2"/>
    <row r="332" s="540" customFormat="1" x14ac:dyDescent="0.2"/>
    <row r="333" s="540" customFormat="1" x14ac:dyDescent="0.2"/>
    <row r="334" s="540" customFormat="1" x14ac:dyDescent="0.2"/>
    <row r="335" s="540" customFormat="1" x14ac:dyDescent="0.2"/>
    <row r="336" s="540" customFormat="1" x14ac:dyDescent="0.2"/>
    <row r="337" s="540" customFormat="1" x14ac:dyDescent="0.2"/>
    <row r="338" s="540" customFormat="1" x14ac:dyDescent="0.2"/>
    <row r="339" s="540" customFormat="1" x14ac:dyDescent="0.2"/>
    <row r="340" s="540" customFormat="1" x14ac:dyDescent="0.2"/>
    <row r="341" s="540" customFormat="1" x14ac:dyDescent="0.2"/>
    <row r="342" s="540" customFormat="1" x14ac:dyDescent="0.2"/>
    <row r="343" s="540" customFormat="1" x14ac:dyDescent="0.2"/>
    <row r="344" s="540" customFormat="1" x14ac:dyDescent="0.2"/>
    <row r="345" s="540" customFormat="1" x14ac:dyDescent="0.2"/>
    <row r="346" s="540" customFormat="1" x14ac:dyDescent="0.2"/>
    <row r="347" s="540" customFormat="1" x14ac:dyDescent="0.2"/>
    <row r="348" s="540" customFormat="1" x14ac:dyDescent="0.2"/>
    <row r="349" s="540" customFormat="1" x14ac:dyDescent="0.2"/>
    <row r="350" s="540" customFormat="1" x14ac:dyDescent="0.2"/>
    <row r="351" s="540" customFormat="1" x14ac:dyDescent="0.2"/>
    <row r="352" s="540" customFormat="1" x14ac:dyDescent="0.2"/>
    <row r="353" s="540" customFormat="1" x14ac:dyDescent="0.2"/>
    <row r="354" s="540" customFormat="1" x14ac:dyDescent="0.2"/>
    <row r="355" s="540" customFormat="1" x14ac:dyDescent="0.2"/>
    <row r="356" s="540" customFormat="1" x14ac:dyDescent="0.2"/>
    <row r="357" s="540" customFormat="1" x14ac:dyDescent="0.2"/>
    <row r="358" s="540" customFormat="1" x14ac:dyDescent="0.2"/>
    <row r="359" s="540" customFormat="1" x14ac:dyDescent="0.2"/>
    <row r="360" s="540" customFormat="1" x14ac:dyDescent="0.2"/>
    <row r="361" s="540" customFormat="1" x14ac:dyDescent="0.2"/>
    <row r="362" s="540" customFormat="1" x14ac:dyDescent="0.2"/>
    <row r="363" s="540" customFormat="1" x14ac:dyDescent="0.2"/>
    <row r="364" s="540" customFormat="1" x14ac:dyDescent="0.2"/>
    <row r="365" s="540" customFormat="1" x14ac:dyDescent="0.2"/>
    <row r="366" s="540" customFormat="1" x14ac:dyDescent="0.2"/>
    <row r="367" s="540" customFormat="1" x14ac:dyDescent="0.2"/>
    <row r="368" s="540" customFormat="1" x14ac:dyDescent="0.2"/>
    <row r="369" s="540" customFormat="1" x14ac:dyDescent="0.2"/>
    <row r="370" s="540" customFormat="1" x14ac:dyDescent="0.2"/>
    <row r="371" s="540" customFormat="1" x14ac:dyDescent="0.2"/>
    <row r="372" s="540" customFormat="1" x14ac:dyDescent="0.2"/>
    <row r="373" s="540" customFormat="1" x14ac:dyDescent="0.2"/>
    <row r="374" s="540" customFormat="1" x14ac:dyDescent="0.2"/>
    <row r="375" s="540" customFormat="1" x14ac:dyDescent="0.2"/>
    <row r="376" s="540" customFormat="1" x14ac:dyDescent="0.2"/>
    <row r="377" s="540" customFormat="1" x14ac:dyDescent="0.2"/>
    <row r="378" s="540" customFormat="1" x14ac:dyDescent="0.2"/>
    <row r="379" s="540" customFormat="1" x14ac:dyDescent="0.2"/>
    <row r="380" s="540" customFormat="1" x14ac:dyDescent="0.2"/>
    <row r="381" s="540" customFormat="1" x14ac:dyDescent="0.2"/>
    <row r="382" s="540" customFormat="1" x14ac:dyDescent="0.2"/>
    <row r="383" s="540" customFormat="1" x14ac:dyDescent="0.2"/>
    <row r="384" s="540" customFormat="1" x14ac:dyDescent="0.2"/>
    <row r="385" s="540" customFormat="1" x14ac:dyDescent="0.2"/>
    <row r="386" s="540" customFormat="1" x14ac:dyDescent="0.2"/>
    <row r="387" s="540" customFormat="1" x14ac:dyDescent="0.2"/>
    <row r="388" s="540" customFormat="1" x14ac:dyDescent="0.2"/>
    <row r="389" s="540" customFormat="1" x14ac:dyDescent="0.2"/>
    <row r="390" s="540" customFormat="1" x14ac:dyDescent="0.2"/>
    <row r="391" s="540" customFormat="1" x14ac:dyDescent="0.2"/>
    <row r="392" s="540" customFormat="1" x14ac:dyDescent="0.2"/>
    <row r="393" s="540" customFormat="1" x14ac:dyDescent="0.2"/>
    <row r="394" s="540" customFormat="1" x14ac:dyDescent="0.2"/>
    <row r="395" s="540" customFormat="1" x14ac:dyDescent="0.2"/>
    <row r="396" s="540" customFormat="1" x14ac:dyDescent="0.2"/>
    <row r="397" s="540" customFormat="1" x14ac:dyDescent="0.2"/>
    <row r="398" s="540" customFormat="1" x14ac:dyDescent="0.2"/>
    <row r="399" s="540" customFormat="1" x14ac:dyDescent="0.2"/>
    <row r="400" s="540" customFormat="1" x14ac:dyDescent="0.2"/>
    <row r="401" s="540" customFormat="1" x14ac:dyDescent="0.2"/>
    <row r="402" s="540" customFormat="1" x14ac:dyDescent="0.2"/>
    <row r="403" s="540" customFormat="1" x14ac:dyDescent="0.2"/>
    <row r="404" s="540" customFormat="1" x14ac:dyDescent="0.2"/>
    <row r="405" s="540" customFormat="1" x14ac:dyDescent="0.2"/>
    <row r="406" s="540" customFormat="1" x14ac:dyDescent="0.2"/>
    <row r="407" s="540" customFormat="1" x14ac:dyDescent="0.2"/>
    <row r="408" s="540" customFormat="1" x14ac:dyDescent="0.2"/>
    <row r="409" s="540" customFormat="1" x14ac:dyDescent="0.2"/>
    <row r="410" s="540" customFormat="1" x14ac:dyDescent="0.2"/>
    <row r="411" s="540" customFormat="1" x14ac:dyDescent="0.2"/>
    <row r="412" s="540" customFormat="1" x14ac:dyDescent="0.2"/>
    <row r="413" s="540" customFormat="1" x14ac:dyDescent="0.2"/>
    <row r="414" s="540" customFormat="1" x14ac:dyDescent="0.2"/>
    <row r="415" s="540" customFormat="1" x14ac:dyDescent="0.2"/>
    <row r="416" s="540" customFormat="1" x14ac:dyDescent="0.2"/>
    <row r="417" s="540" customFormat="1" x14ac:dyDescent="0.2"/>
    <row r="418" s="540" customFormat="1" x14ac:dyDescent="0.2"/>
    <row r="419" s="540" customFormat="1" x14ac:dyDescent="0.2"/>
    <row r="420" s="540" customFormat="1" x14ac:dyDescent="0.2"/>
    <row r="421" s="540" customFormat="1" x14ac:dyDescent="0.2"/>
    <row r="422" s="540" customFormat="1" x14ac:dyDescent="0.2"/>
    <row r="423" s="540" customFormat="1" x14ac:dyDescent="0.2"/>
    <row r="424" s="540" customFormat="1" x14ac:dyDescent="0.2"/>
    <row r="425" s="540" customFormat="1" x14ac:dyDescent="0.2"/>
    <row r="426" s="540" customFormat="1" x14ac:dyDescent="0.2"/>
    <row r="427" s="540" customFormat="1" x14ac:dyDescent="0.2"/>
    <row r="428" s="540" customFormat="1" x14ac:dyDescent="0.2"/>
    <row r="429" s="540" customFormat="1" x14ac:dyDescent="0.2"/>
    <row r="430" s="540" customFormat="1" x14ac:dyDescent="0.2"/>
    <row r="431" s="540" customFormat="1" x14ac:dyDescent="0.2"/>
    <row r="432" s="540" customFormat="1" x14ac:dyDescent="0.2"/>
    <row r="433" s="540" customFormat="1" x14ac:dyDescent="0.2"/>
    <row r="434" s="540" customFormat="1" x14ac:dyDescent="0.2"/>
    <row r="435" s="540" customFormat="1" x14ac:dyDescent="0.2"/>
    <row r="436" s="540" customFormat="1" x14ac:dyDescent="0.2"/>
    <row r="437" s="540" customFormat="1" x14ac:dyDescent="0.2"/>
    <row r="438" s="540" customFormat="1" x14ac:dyDescent="0.2"/>
    <row r="439" s="540" customFormat="1" x14ac:dyDescent="0.2"/>
    <row r="440" s="540" customFormat="1" x14ac:dyDescent="0.2"/>
    <row r="441" s="540" customFormat="1" x14ac:dyDescent="0.2"/>
    <row r="442" s="540" customFormat="1" x14ac:dyDescent="0.2"/>
    <row r="443" s="540" customFormat="1" x14ac:dyDescent="0.2"/>
    <row r="444" s="540" customFormat="1" x14ac:dyDescent="0.2"/>
    <row r="445" s="540" customFormat="1" x14ac:dyDescent="0.2"/>
    <row r="446" s="540" customFormat="1" x14ac:dyDescent="0.2"/>
    <row r="447" s="540" customFormat="1" x14ac:dyDescent="0.2"/>
    <row r="448" s="540" customFormat="1" x14ac:dyDescent="0.2"/>
    <row r="449" s="540" customFormat="1" x14ac:dyDescent="0.2"/>
    <row r="450" s="540" customFormat="1" x14ac:dyDescent="0.2"/>
    <row r="451" s="540" customFormat="1" x14ac:dyDescent="0.2"/>
    <row r="452" s="540" customFormat="1" x14ac:dyDescent="0.2"/>
    <row r="453" s="540" customFormat="1" x14ac:dyDescent="0.2"/>
    <row r="454" s="540" customFormat="1" x14ac:dyDescent="0.2"/>
    <row r="455" s="540" customFormat="1" x14ac:dyDescent="0.2"/>
    <row r="456" s="540" customFormat="1" x14ac:dyDescent="0.2"/>
    <row r="457" s="540" customFormat="1" x14ac:dyDescent="0.2"/>
    <row r="458" s="540" customFormat="1" x14ac:dyDescent="0.2"/>
    <row r="459" s="540" customFormat="1" x14ac:dyDescent="0.2"/>
    <row r="460" s="540" customFormat="1" x14ac:dyDescent="0.2"/>
    <row r="461" s="540" customFormat="1" x14ac:dyDescent="0.2"/>
    <row r="462" s="540" customFormat="1" x14ac:dyDescent="0.2"/>
    <row r="463" s="540" customFormat="1" x14ac:dyDescent="0.2"/>
    <row r="464" s="540" customFormat="1" x14ac:dyDescent="0.2"/>
    <row r="465" s="540" customFormat="1" x14ac:dyDescent="0.2"/>
    <row r="466" s="540" customFormat="1" x14ac:dyDescent="0.2"/>
    <row r="467" s="540" customFormat="1" x14ac:dyDescent="0.2"/>
    <row r="468" s="540" customFormat="1" x14ac:dyDescent="0.2"/>
    <row r="469" s="540" customFormat="1" x14ac:dyDescent="0.2"/>
    <row r="470" s="540" customFormat="1" x14ac:dyDescent="0.2"/>
    <row r="471" s="540" customFormat="1" x14ac:dyDescent="0.2"/>
    <row r="472" s="540" customFormat="1" x14ac:dyDescent="0.2"/>
    <row r="473" s="540" customFormat="1" x14ac:dyDescent="0.2"/>
    <row r="474" s="540" customFormat="1" x14ac:dyDescent="0.2"/>
    <row r="475" s="540" customFormat="1" x14ac:dyDescent="0.2"/>
    <row r="476" s="540" customFormat="1" x14ac:dyDescent="0.2"/>
    <row r="477" s="540" customFormat="1" x14ac:dyDescent="0.2"/>
    <row r="478" s="540" customFormat="1" x14ac:dyDescent="0.2"/>
    <row r="479" s="540" customFormat="1" x14ac:dyDescent="0.2"/>
    <row r="480" s="540" customFormat="1" x14ac:dyDescent="0.2"/>
    <row r="481" s="540" customFormat="1" x14ac:dyDescent="0.2"/>
    <row r="482" s="540" customFormat="1" x14ac:dyDescent="0.2"/>
    <row r="483" s="540" customFormat="1" x14ac:dyDescent="0.2"/>
    <row r="484" s="540" customFormat="1" x14ac:dyDescent="0.2"/>
    <row r="485" s="540" customFormat="1" x14ac:dyDescent="0.2"/>
    <row r="486" s="540" customFormat="1" x14ac:dyDescent="0.2"/>
    <row r="487" s="540" customFormat="1" x14ac:dyDescent="0.2"/>
    <row r="488" s="540" customFormat="1" x14ac:dyDescent="0.2"/>
    <row r="489" s="540" customFormat="1" x14ac:dyDescent="0.2"/>
    <row r="490" s="540" customFormat="1" x14ac:dyDescent="0.2"/>
    <row r="491" s="540" customFormat="1" x14ac:dyDescent="0.2"/>
    <row r="492" s="540" customFormat="1" x14ac:dyDescent="0.2"/>
    <row r="493" s="540" customFormat="1" x14ac:dyDescent="0.2"/>
    <row r="494" s="540" customFormat="1" x14ac:dyDescent="0.2"/>
    <row r="495" s="540" customFormat="1" x14ac:dyDescent="0.2"/>
    <row r="496" s="540" customFormat="1" x14ac:dyDescent="0.2"/>
    <row r="497" s="540" customFormat="1" x14ac:dyDescent="0.2"/>
    <row r="498" s="540" customFormat="1" x14ac:dyDescent="0.2"/>
    <row r="499" s="540" customFormat="1" x14ac:dyDescent="0.2"/>
    <row r="500" s="540" customFormat="1" x14ac:dyDescent="0.2"/>
    <row r="501" s="540" customFormat="1" x14ac:dyDescent="0.2"/>
    <row r="502" s="540" customFormat="1" x14ac:dyDescent="0.2"/>
    <row r="503" s="540" customFormat="1" x14ac:dyDescent="0.2"/>
    <row r="504" s="540" customFormat="1" x14ac:dyDescent="0.2"/>
    <row r="505" s="540" customFormat="1" x14ac:dyDescent="0.2"/>
    <row r="506" s="540" customFormat="1" x14ac:dyDescent="0.2"/>
    <row r="507" s="540" customFormat="1" x14ac:dyDescent="0.2"/>
    <row r="508" s="540" customFormat="1" x14ac:dyDescent="0.2"/>
    <row r="509" s="540" customFormat="1" x14ac:dyDescent="0.2"/>
    <row r="510" s="540" customFormat="1" x14ac:dyDescent="0.2"/>
    <row r="511" s="540" customFormat="1" x14ac:dyDescent="0.2"/>
    <row r="512" s="540" customFormat="1" x14ac:dyDescent="0.2"/>
    <row r="513" s="540" customFormat="1" x14ac:dyDescent="0.2"/>
    <row r="514" s="540" customFormat="1" x14ac:dyDescent="0.2"/>
    <row r="515" s="540" customFormat="1" x14ac:dyDescent="0.2"/>
    <row r="516" s="540" customFormat="1" x14ac:dyDescent="0.2"/>
    <row r="517" s="540" customFormat="1" x14ac:dyDescent="0.2"/>
    <row r="518" s="540" customFormat="1" x14ac:dyDescent="0.2"/>
    <row r="519" s="540" customFormat="1" x14ac:dyDescent="0.2"/>
    <row r="520" s="540" customFormat="1" x14ac:dyDescent="0.2"/>
    <row r="521" s="540" customFormat="1" x14ac:dyDescent="0.2"/>
    <row r="522" s="540" customFormat="1" x14ac:dyDescent="0.2"/>
    <row r="523" s="540" customFormat="1" x14ac:dyDescent="0.2"/>
    <row r="524" s="540" customFormat="1" x14ac:dyDescent="0.2"/>
    <row r="525" s="540" customFormat="1" x14ac:dyDescent="0.2"/>
    <row r="526" s="540" customFormat="1" x14ac:dyDescent="0.2"/>
    <row r="527" s="540" customFormat="1" x14ac:dyDescent="0.2"/>
    <row r="528" s="540" customFormat="1" x14ac:dyDescent="0.2"/>
    <row r="529" s="540" customFormat="1" x14ac:dyDescent="0.2"/>
    <row r="530" s="540" customFormat="1" x14ac:dyDescent="0.2"/>
    <row r="531" s="540" customFormat="1" x14ac:dyDescent="0.2"/>
    <row r="532" s="540" customFormat="1" x14ac:dyDescent="0.2"/>
    <row r="533" s="540" customFormat="1" x14ac:dyDescent="0.2"/>
    <row r="534" s="540" customFormat="1" x14ac:dyDescent="0.2"/>
    <row r="535" s="540" customFormat="1" x14ac:dyDescent="0.2"/>
    <row r="536" s="540" customFormat="1" x14ac:dyDescent="0.2"/>
    <row r="537" s="540" customFormat="1" x14ac:dyDescent="0.2"/>
    <row r="538" s="540" customFormat="1" x14ac:dyDescent="0.2"/>
    <row r="539" s="540" customFormat="1" x14ac:dyDescent="0.2"/>
    <row r="540" s="540" customFormat="1" x14ac:dyDescent="0.2"/>
    <row r="541" s="540" customFormat="1" x14ac:dyDescent="0.2"/>
    <row r="542" s="540" customFormat="1" x14ac:dyDescent="0.2"/>
    <row r="543" s="540" customFormat="1" x14ac:dyDescent="0.2"/>
    <row r="544" s="540" customFormat="1" x14ac:dyDescent="0.2"/>
    <row r="545" s="540" customFormat="1" x14ac:dyDescent="0.2"/>
    <row r="546" s="540" customFormat="1" x14ac:dyDescent="0.2"/>
    <row r="547" s="540" customFormat="1" x14ac:dyDescent="0.2"/>
    <row r="548" s="540" customFormat="1" x14ac:dyDescent="0.2"/>
    <row r="549" s="540" customFormat="1" x14ac:dyDescent="0.2"/>
    <row r="550" s="540" customFormat="1" x14ac:dyDescent="0.2"/>
    <row r="551" s="540" customFormat="1" x14ac:dyDescent="0.2"/>
    <row r="552" s="540" customFormat="1" x14ac:dyDescent="0.2"/>
    <row r="553" s="540" customFormat="1" x14ac:dyDescent="0.2"/>
    <row r="554" s="540" customFormat="1" x14ac:dyDescent="0.2"/>
    <row r="555" s="540" customFormat="1" x14ac:dyDescent="0.2"/>
    <row r="556" s="540" customFormat="1" x14ac:dyDescent="0.2"/>
    <row r="557" s="540" customFormat="1" x14ac:dyDescent="0.2"/>
    <row r="558" s="540" customFormat="1" x14ac:dyDescent="0.2"/>
    <row r="559" s="540" customFormat="1" x14ac:dyDescent="0.2"/>
    <row r="560" s="540" customFormat="1" x14ac:dyDescent="0.2"/>
    <row r="561" s="540" customFormat="1" x14ac:dyDescent="0.2"/>
    <row r="562" s="540" customFormat="1" x14ac:dyDescent="0.2"/>
    <row r="563" s="540" customFormat="1" x14ac:dyDescent="0.2"/>
    <row r="564" s="540" customFormat="1" x14ac:dyDescent="0.2"/>
    <row r="565" s="540" customFormat="1" x14ac:dyDescent="0.2"/>
    <row r="566" s="540" customFormat="1" x14ac:dyDescent="0.2"/>
    <row r="567" s="540" customFormat="1" x14ac:dyDescent="0.2"/>
    <row r="568" s="540" customFormat="1" x14ac:dyDescent="0.2"/>
    <row r="569" s="540" customFormat="1" x14ac:dyDescent="0.2"/>
    <row r="570" s="540" customFormat="1" x14ac:dyDescent="0.2"/>
    <row r="571" s="540" customFormat="1" x14ac:dyDescent="0.2"/>
    <row r="572" s="540" customFormat="1" x14ac:dyDescent="0.2"/>
    <row r="573" s="540" customFormat="1" x14ac:dyDescent="0.2"/>
    <row r="574" s="540" customFormat="1" x14ac:dyDescent="0.2"/>
    <row r="575" s="540" customFormat="1" x14ac:dyDescent="0.2"/>
    <row r="576" s="540" customFormat="1" x14ac:dyDescent="0.2"/>
    <row r="577" s="540" customFormat="1" x14ac:dyDescent="0.2"/>
    <row r="578" s="540" customFormat="1" x14ac:dyDescent="0.2"/>
    <row r="579" s="540" customFormat="1" x14ac:dyDescent="0.2"/>
    <row r="580" s="540" customFormat="1" x14ac:dyDescent="0.2"/>
    <row r="581" s="540" customFormat="1" x14ac:dyDescent="0.2"/>
    <row r="582" s="540" customFormat="1" x14ac:dyDescent="0.2"/>
    <row r="583" s="540" customFormat="1" x14ac:dyDescent="0.2"/>
    <row r="584" s="540" customFormat="1" x14ac:dyDescent="0.2"/>
    <row r="585" s="540" customFormat="1" x14ac:dyDescent="0.2"/>
    <row r="586" s="540" customFormat="1" x14ac:dyDescent="0.2"/>
    <row r="587" s="540" customFormat="1" x14ac:dyDescent="0.2"/>
    <row r="588" s="540" customFormat="1" x14ac:dyDescent="0.2"/>
    <row r="589" s="540" customFormat="1" x14ac:dyDescent="0.2"/>
    <row r="590" s="540" customFormat="1" x14ac:dyDescent="0.2"/>
    <row r="591" s="540" customFormat="1" x14ac:dyDescent="0.2"/>
    <row r="592" s="540" customFormat="1" x14ac:dyDescent="0.2"/>
    <row r="593" s="540" customFormat="1" x14ac:dyDescent="0.2"/>
    <row r="594" s="540" customFormat="1" x14ac:dyDescent="0.2"/>
    <row r="595" s="540" customFormat="1" x14ac:dyDescent="0.2"/>
    <row r="596" s="540" customFormat="1" x14ac:dyDescent="0.2"/>
    <row r="597" s="540" customFormat="1" x14ac:dyDescent="0.2"/>
    <row r="598" s="540" customFormat="1" x14ac:dyDescent="0.2"/>
    <row r="599" s="540" customFormat="1" x14ac:dyDescent="0.2"/>
    <row r="600" s="540" customFormat="1" x14ac:dyDescent="0.2"/>
    <row r="601" s="540" customFormat="1" x14ac:dyDescent="0.2"/>
    <row r="602" s="540" customFormat="1" x14ac:dyDescent="0.2"/>
    <row r="603" s="540" customFormat="1" x14ac:dyDescent="0.2"/>
    <row r="604" s="540" customFormat="1" x14ac:dyDescent="0.2"/>
    <row r="605" s="540" customFormat="1" x14ac:dyDescent="0.2"/>
    <row r="606" s="540" customFormat="1" x14ac:dyDescent="0.2"/>
    <row r="607" s="540" customFormat="1" x14ac:dyDescent="0.2"/>
    <row r="608" s="540" customFormat="1" x14ac:dyDescent="0.2"/>
    <row r="609" s="540" customFormat="1" x14ac:dyDescent="0.2"/>
    <row r="610" s="540" customFormat="1" x14ac:dyDescent="0.2"/>
    <row r="611" s="540" customFormat="1" x14ac:dyDescent="0.2"/>
    <row r="612" s="540" customFormat="1" x14ac:dyDescent="0.2"/>
    <row r="613" s="540" customFormat="1" x14ac:dyDescent="0.2"/>
    <row r="614" s="540" customFormat="1" x14ac:dyDescent="0.2"/>
    <row r="615" s="540" customFormat="1" x14ac:dyDescent="0.2"/>
    <row r="616" s="540" customFormat="1" x14ac:dyDescent="0.2"/>
    <row r="617" s="540" customFormat="1" x14ac:dyDescent="0.2"/>
    <row r="618" s="540" customFormat="1" x14ac:dyDescent="0.2"/>
    <row r="619" s="540" customFormat="1" x14ac:dyDescent="0.2"/>
    <row r="620" s="540" customFormat="1" x14ac:dyDescent="0.2"/>
    <row r="621" s="540" customFormat="1" x14ac:dyDescent="0.2"/>
    <row r="622" s="540" customFormat="1" x14ac:dyDescent="0.2"/>
    <row r="623" s="540" customFormat="1" x14ac:dyDescent="0.2"/>
    <row r="624" s="540" customFormat="1" x14ac:dyDescent="0.2"/>
    <row r="625" s="540" customFormat="1" x14ac:dyDescent="0.2"/>
    <row r="626" s="540" customFormat="1" x14ac:dyDescent="0.2"/>
    <row r="627" s="540" customFormat="1" x14ac:dyDescent="0.2"/>
    <row r="628" s="540" customFormat="1" x14ac:dyDescent="0.2"/>
    <row r="629" s="540" customFormat="1" x14ac:dyDescent="0.2"/>
    <row r="630" s="540" customFormat="1" x14ac:dyDescent="0.2"/>
    <row r="631" s="540" customFormat="1" x14ac:dyDescent="0.2"/>
    <row r="632" s="540" customFormat="1" x14ac:dyDescent="0.2"/>
    <row r="633" s="540" customFormat="1" x14ac:dyDescent="0.2"/>
    <row r="634" s="540" customFormat="1" x14ac:dyDescent="0.2"/>
    <row r="635" s="540" customFormat="1" x14ac:dyDescent="0.2"/>
    <row r="636" s="540" customFormat="1" x14ac:dyDescent="0.2"/>
    <row r="637" s="540" customFormat="1" x14ac:dyDescent="0.2"/>
    <row r="638" s="540" customFormat="1" x14ac:dyDescent="0.2"/>
    <row r="639" s="540" customFormat="1" x14ac:dyDescent="0.2"/>
    <row r="640" s="540" customFormat="1" x14ac:dyDescent="0.2"/>
    <row r="641" s="540" customFormat="1" x14ac:dyDescent="0.2"/>
    <row r="642" s="540" customFormat="1" x14ac:dyDescent="0.2"/>
    <row r="643" s="540" customFormat="1" x14ac:dyDescent="0.2"/>
    <row r="644" s="540" customFormat="1" x14ac:dyDescent="0.2"/>
    <row r="645" s="540" customFormat="1" x14ac:dyDescent="0.2"/>
    <row r="646" s="540" customFormat="1" x14ac:dyDescent="0.2"/>
    <row r="647" s="540" customFormat="1" x14ac:dyDescent="0.2"/>
    <row r="648" s="540" customFormat="1" x14ac:dyDescent="0.2"/>
    <row r="649" s="540" customFormat="1" x14ac:dyDescent="0.2"/>
    <row r="650" s="540" customFormat="1" x14ac:dyDescent="0.2"/>
    <row r="651" s="540" customFormat="1" x14ac:dyDescent="0.2"/>
    <row r="652" s="540" customFormat="1" x14ac:dyDescent="0.2"/>
    <row r="653" s="540" customFormat="1" x14ac:dyDescent="0.2"/>
    <row r="654" s="540" customFormat="1" x14ac:dyDescent="0.2"/>
    <row r="655" s="540" customFormat="1" x14ac:dyDescent="0.2"/>
  </sheetData>
  <sheetProtection algorithmName="SHA-512" hashValue="sb/dix4dKRJcNnMlVqqOlmjywaKYARC6MBPZimDMR+q5BDdrUVSxZ4j+vMg9xHZtI414uNoLf0KZBVTEKi4BrA==" saltValue="hFoXihQxY69iCvQZ8lQBHw==" spinCount="100000" sheet="1" objects="1" scenarios="1"/>
  <mergeCells count="2">
    <mergeCell ref="B37:L37"/>
    <mergeCell ref="B38:L38"/>
  </mergeCells>
  <conditionalFormatting sqref="B1:L1">
    <cfRule type="expression" dxfId="127" priority="48">
      <formula>OR(PPBranding="PLANEdge")</formula>
    </cfRule>
    <cfRule type="expression" dxfId="126" priority="50">
      <formula>OR(PPBranding="ChoiceExcel")</formula>
    </cfRule>
  </conditionalFormatting>
  <conditionalFormatting sqref="B1:L1">
    <cfRule type="expression" dxfId="125" priority="49">
      <formula>OR(PPBranding="FASTExcel", PPBranding="ChoiceEdge")</formula>
    </cfRule>
  </conditionalFormatting>
  <conditionalFormatting sqref="D9">
    <cfRule type="cellIs" dxfId="124" priority="47" stopIfTrue="1" operator="equal">
      <formula>"State"</formula>
    </cfRule>
  </conditionalFormatting>
  <conditionalFormatting sqref="D7">
    <cfRule type="cellIs" dxfId="123" priority="46" stopIfTrue="1" operator="equal">
      <formula>"Yes"</formula>
    </cfRule>
  </conditionalFormatting>
  <conditionalFormatting sqref="A2:G4">
    <cfRule type="expression" dxfId="116" priority="1">
      <formula>PPBranding = "YBR"</formula>
    </cfRule>
    <cfRule type="expression" dxfId="117" priority="4">
      <formula>PPBranding = "Paramount"</formula>
    </cfRule>
    <cfRule type="expression" dxfId="122" priority="41">
      <formula>OR(PPBranding = "Con")</formula>
    </cfRule>
    <cfRule type="expression" dxfId="121" priority="42">
      <formula>PPBranding = "RM"</formula>
    </cfRule>
    <cfRule type="expression" dxfId="120" priority="43">
      <formula>OR(PPBranding="PLANExcel", PPBranding="PLANEdge")</formula>
    </cfRule>
    <cfRule type="expression" dxfId="119" priority="44">
      <formula>OR(PPBranding="FastExcel", PPBranding="FastEdge")</formula>
    </cfRule>
    <cfRule type="expression" dxfId="118" priority="45">
      <formula>OR(PPBranding="ChoiceExcel", PPBranding="ChoiceEdge")</formula>
    </cfRule>
  </conditionalFormatting>
  <conditionalFormatting sqref="H2:M4">
    <cfRule type="expression" dxfId="109" priority="2">
      <formula>PPBranding = "YBR"</formula>
    </cfRule>
    <cfRule type="expression" dxfId="110" priority="5">
      <formula>PPBranding = "Paramount"</formula>
    </cfRule>
    <cfRule type="expression" dxfId="115" priority="36">
      <formula>OR(PPBranding = "Con")</formula>
    </cfRule>
    <cfRule type="expression" dxfId="114" priority="37">
      <formula>PPBranding = "RM"</formula>
    </cfRule>
    <cfRule type="expression" dxfId="113" priority="38">
      <formula>OR(PPBranding="PLANExcel", PPBranding="PLANEdge")</formula>
    </cfRule>
    <cfRule type="expression" dxfId="112" priority="39">
      <formula>OR(PPBranding="FastExcel", PPBranding="FastEdge")</formula>
    </cfRule>
    <cfRule type="expression" dxfId="111" priority="40">
      <formula>OR(PPBranding="ChoiceExcel", PPBranding="ChoiceEdge")</formula>
    </cfRule>
  </conditionalFormatting>
  <conditionalFormatting sqref="N2:S4">
    <cfRule type="expression" dxfId="102" priority="3">
      <formula>PPBranding = "YBR"</formula>
    </cfRule>
    <cfRule type="expression" dxfId="103" priority="6">
      <formula>PPBranding = "Paramount"</formula>
    </cfRule>
    <cfRule type="expression" dxfId="108" priority="31">
      <formula>OR(PPBranding = "Con")</formula>
    </cfRule>
    <cfRule type="expression" dxfId="107" priority="32">
      <formula>PPBranding = "RM"</formula>
    </cfRule>
    <cfRule type="expression" dxfId="106" priority="33">
      <formula>OR(PPBranding="PLANExcel", PPBranding="PLANEdge")</formula>
    </cfRule>
    <cfRule type="expression" dxfId="105" priority="34">
      <formula>OR(PPBranding="FastExcel", PPBranding="FastEdge")</formula>
    </cfRule>
    <cfRule type="expression" dxfId="104" priority="35">
      <formula>OR(PPBranding="ChoiceExcel", PPBranding="ChoiceEdge")</formula>
    </cfRule>
  </conditionalFormatting>
  <conditionalFormatting sqref="J6 L6 F11 F14 F19:F20 L9 R13:R15 R20 F27:F28 R33:R36 R38 R40 R7:R9">
    <cfRule type="expression" dxfId="101" priority="30">
      <formula>OR(PPBranding="ChoiceExcel", PPBranding="ChoiceEdge", PPBranding="ChoiceEdge", Branding="FastEdge", Branding="FastExcel", Branding="FASTExcel",PPBranding="PLANExcel",PPBranding="PLANEdge")</formula>
    </cfRule>
  </conditionalFormatting>
  <conditionalFormatting sqref="F13 R10 R16 R23 R28 L28 F29 D29 F23 R41">
    <cfRule type="expression" dxfId="100" priority="29">
      <formula>OR(PPBranding="ChoiceExcel", PPBranding="ChoiceEdge", PPBranding="ChoiceEdge", Branding="FastEdge", PPBranding="FastExcel", PPBranding="FASTExcel",PPBranding="PLANExcel",PPBranding="PLANEdge")</formula>
    </cfRule>
  </conditionalFormatting>
  <conditionalFormatting sqref="A1">
    <cfRule type="expression" dxfId="99" priority="26">
      <formula>OR(ComBranding="PLANEdge")</formula>
    </cfRule>
    <cfRule type="expression" dxfId="98" priority="28">
      <formula>OR(ComBranding="ChoiceExcel")</formula>
    </cfRule>
  </conditionalFormatting>
  <conditionalFormatting sqref="A1">
    <cfRule type="expression" dxfId="97" priority="27">
      <formula>OR(ComBranding="FASTExcel", ComBranding="ChoiceEdge")</formula>
    </cfRule>
  </conditionalFormatting>
  <conditionalFormatting sqref="B26">
    <cfRule type="expression" dxfId="96" priority="11">
      <formula>OR($B$26="Option 1 - 0.95%",$B$26="Option 2 - 0.75%" )</formula>
    </cfRule>
    <cfRule type="expression" dxfId="95" priority="15">
      <formula>$F$7="Residential"</formula>
    </cfRule>
    <cfRule type="expression" dxfId="94" priority="16">
      <formula>$B$26=""</formula>
    </cfRule>
    <cfRule type="expression" dxfId="93" priority="23">
      <formula>AND($D$7="",$E$7="")</formula>
    </cfRule>
    <cfRule type="expression" dxfId="92" priority="24">
      <formula>AND($D$7="yes",$E$7="Residential")</formula>
    </cfRule>
  </conditionalFormatting>
  <conditionalFormatting sqref="I5:L7">
    <cfRule type="expression" dxfId="91" priority="22">
      <formula>AND($D$7="Yes",$F$7="Residential")</formula>
    </cfRule>
  </conditionalFormatting>
  <conditionalFormatting sqref="O9">
    <cfRule type="expression" dxfId="90" priority="21">
      <formula>AND($D$7="Yes",$F$7="Residential")</formula>
    </cfRule>
  </conditionalFormatting>
  <conditionalFormatting sqref="R9">
    <cfRule type="expression" dxfId="89" priority="20">
      <formula>OR(AND($D$7="Yes",$F$7="Residential"),AND($D$7="No",$F$7="Residential"))</formula>
    </cfRule>
  </conditionalFormatting>
  <conditionalFormatting sqref="B29:F29">
    <cfRule type="expression" dxfId="88" priority="19">
      <formula>$F$28=650</formula>
    </cfRule>
  </conditionalFormatting>
  <conditionalFormatting sqref="A2:S4">
    <cfRule type="expression" dxfId="87" priority="7">
      <formula>OR(PPBranding = "Thrive")</formula>
    </cfRule>
    <cfRule type="expression" dxfId="86" priority="17">
      <formula>OR(PPBranding = "Go Beyond")</formula>
    </cfRule>
    <cfRule type="expression" dxfId="85" priority="18">
      <formula>OR(PPBranding = "AFG")</formula>
    </cfRule>
    <cfRule type="expression" dxfId="84" priority="25">
      <formula>OR(PPBranding = "AFG Align")</formula>
    </cfRule>
  </conditionalFormatting>
  <conditionalFormatting sqref="L28">
    <cfRule type="expression" dxfId="83" priority="9">
      <formula>$L$28="0"</formula>
    </cfRule>
    <cfRule type="expression" dxfId="82" priority="12">
      <formula>AND($D$7="",$F$7="")</formula>
    </cfRule>
    <cfRule type="expression" dxfId="81" priority="13">
      <formula>AND($D$7="YES",$F$7="")</formula>
    </cfRule>
    <cfRule type="expression" dxfId="80" priority="14">
      <formula>AND($D$7="Yes",$F$7="Residential")</formula>
    </cfRule>
  </conditionalFormatting>
  <conditionalFormatting sqref="F7">
    <cfRule type="expression" dxfId="79" priority="10">
      <formula>$D$7="No"</formula>
    </cfRule>
  </conditionalFormatting>
  <dataValidations count="6">
    <dataValidation type="list" errorStyle="information" allowBlank="1" showInputMessage="1" showErrorMessage="1" errorTitle="Choose" error="Choose from the list above under Establishment Fee &amp; Up Front Commission" sqref="B26" xr:uid="{97354588-A97A-43DE-9F0F-F878E96FEEA6}">
      <formula1>$B$50:$B$52</formula1>
    </dataValidation>
    <dataValidation type="list" allowBlank="1" showInputMessage="1" showErrorMessage="1" sqref="F7" xr:uid="{5CCBE39A-7B7C-425E-B12C-3317ABFB7FA9}">
      <formula1>$C$46:$C$48</formula1>
    </dataValidation>
    <dataValidation type="whole" operator="greaterThanOrEqual" allowBlank="1" showInputMessage="1" showErrorMessage="1" errorTitle="Input a Positive Value" promptTitle="Input a Negative Value" sqref="F21:F22" xr:uid="{B14E5BE2-B4DB-48EE-A78E-EE74D0DD7AA9}">
      <formula1>0</formula1>
    </dataValidation>
    <dataValidation type="list" allowBlank="1" showInputMessage="1" showErrorMessage="1" sqref="D10" xr:uid="{C5820D06-4488-4C8B-99B8-E12E90B516F5}">
      <formula1>$B$69:$B$76</formula1>
    </dataValidation>
    <dataValidation type="list" allowBlank="1" showInputMessage="1" showErrorMessage="1" sqref="D19 D11 D7" xr:uid="{B9DE526E-E508-4728-BB89-E90CF34F6430}">
      <formula1>$B$77:$B$78</formula1>
    </dataValidation>
    <dataValidation type="decimal" allowBlank="1" showInputMessage="1" showErrorMessage="1" error="Max 1.0% up front commission" sqref="D27" xr:uid="{A2EF022D-DA63-4674-8ED6-B125D2C48BD9}">
      <formula1>0</formula1>
      <formula2>0.01</formula2>
    </dataValidation>
  </dataValidations>
  <pageMargins left="0.39" right="0.25" top="0.36" bottom="0.38" header="0.28999999999999998" footer="0.18"/>
  <pageSetup paperSize="9" scale="80" orientation="landscape" r:id="rId1"/>
  <headerFooter alignWithMargins="0">
    <oddFooter>&amp;L&amp;"Arial Narrow,Regular"&amp;9Calculator Printed:&amp;D @ &amp;T&amp;R&amp;"Arial Narrow,Bold"&amp;8Copyright Think Tank Group Pty Ltd</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35C6E2F9-8313-4117-9D1A-F0CC8A9ADBA8}">
            <xm:f>NOT(ISERROR(SEARCH($D$7="NO",F7)))</xm:f>
            <xm:f>$D$7="NO"</xm:f>
            <x14:dxf>
              <fill>
                <patternFill>
                  <bgColor theme="0"/>
                </patternFill>
              </fill>
            </x14:dxf>
          </x14:cfRule>
          <xm:sqref>F7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1CE5-1D0A-49F1-A76F-E9BE6386AFAB}">
  <sheetPr codeName="Sheet7">
    <tabColor theme="1"/>
  </sheetPr>
  <dimension ref="A1:Y150"/>
  <sheetViews>
    <sheetView showGridLines="0" showRowColHeaders="0" workbookViewId="0">
      <selection activeCell="A5" sqref="A5"/>
    </sheetView>
  </sheetViews>
  <sheetFormatPr defaultColWidth="9.140625" defaultRowHeight="12.75" x14ac:dyDescent="0.2"/>
  <cols>
    <col min="1" max="1" width="2.7109375" style="185" customWidth="1"/>
    <col min="2" max="2" width="27" style="185" customWidth="1"/>
    <col min="3" max="3" width="8.7109375" style="185" customWidth="1"/>
    <col min="4" max="4" width="0.85546875" style="185" customWidth="1"/>
    <col min="5" max="5" width="14.28515625" style="185" customWidth="1"/>
    <col min="6" max="6" width="3.28515625" style="185" customWidth="1"/>
    <col min="7" max="7" width="2.7109375" style="185" customWidth="1"/>
    <col min="8" max="8" width="24.7109375" style="185" customWidth="1"/>
    <col min="9" max="9" width="8.7109375" style="185" customWidth="1"/>
    <col min="10" max="10" width="0.85546875" style="185" customWidth="1"/>
    <col min="11" max="11" width="12.7109375" style="185" customWidth="1"/>
    <col min="12" max="12" width="12.42578125" style="185" customWidth="1"/>
    <col min="13" max="13" width="2.7109375" style="185" customWidth="1"/>
    <col min="14" max="14" width="24.7109375" style="185" customWidth="1"/>
    <col min="15" max="15" width="12.85546875" style="185" customWidth="1"/>
    <col min="16" max="16" width="0.85546875" style="185" customWidth="1"/>
    <col min="17" max="17" width="12.7109375" style="185" customWidth="1"/>
    <col min="18" max="18" width="3.28515625" style="185" customWidth="1"/>
    <col min="19" max="19" width="5" style="185" bestFit="1" customWidth="1"/>
    <col min="20" max="20" width="15.7109375" style="185" hidden="1" customWidth="1"/>
    <col min="21" max="21" width="15.28515625" style="185" hidden="1" customWidth="1"/>
    <col min="22" max="22" width="0" style="185" hidden="1" customWidth="1"/>
    <col min="23" max="16384" width="9.140625" style="185"/>
  </cols>
  <sheetData>
    <row r="1" spans="1:25" ht="33.75" customHeight="1" x14ac:dyDescent="0.2">
      <c r="A1" s="83" t="s">
        <v>8</v>
      </c>
      <c r="B1" s="409"/>
      <c r="C1" s="409"/>
      <c r="D1" s="409" t="s">
        <v>0</v>
      </c>
      <c r="E1" s="410" t="s">
        <v>2</v>
      </c>
      <c r="F1" s="409"/>
      <c r="G1" s="409"/>
      <c r="H1" s="409"/>
      <c r="I1" s="5"/>
      <c r="J1" s="5"/>
      <c r="K1" s="5"/>
      <c r="L1" s="330"/>
      <c r="M1" s="330"/>
      <c r="N1" s="330"/>
      <c r="O1" s="330"/>
      <c r="P1" s="330"/>
      <c r="Q1" s="330"/>
      <c r="R1" s="562"/>
    </row>
    <row r="2" spans="1:25" ht="15" customHeight="1" x14ac:dyDescent="0.2">
      <c r="A2" s="8"/>
      <c r="B2" s="8"/>
      <c r="C2" s="8"/>
      <c r="D2" s="8"/>
      <c r="E2" s="8"/>
      <c r="F2" s="8"/>
      <c r="G2" s="415"/>
      <c r="H2" s="8"/>
      <c r="I2" s="8"/>
      <c r="J2" s="8"/>
      <c r="K2" s="8"/>
      <c r="L2" s="8"/>
      <c r="M2" s="415"/>
      <c r="N2" s="8"/>
      <c r="O2" s="8"/>
      <c r="P2" s="8"/>
      <c r="Q2" s="8"/>
      <c r="R2" s="8"/>
    </row>
    <row r="3" spans="1:25" ht="14.25" x14ac:dyDescent="0.2">
      <c r="A3" s="4"/>
      <c r="B3" s="417" t="s">
        <v>315</v>
      </c>
      <c r="C3" s="4"/>
      <c r="D3" s="4"/>
      <c r="E3" s="4"/>
      <c r="F3" s="4"/>
      <c r="G3" s="418"/>
      <c r="H3" s="417" t="str">
        <f>IF(E7="Residential","2 Valuation Fee ","2  amount payable upon acceptance of loan offer")</f>
        <v>2  amount payable upon acceptance of loan offer</v>
      </c>
      <c r="I3" s="4"/>
      <c r="J3" s="4"/>
      <c r="K3" s="4"/>
      <c r="L3" s="4"/>
      <c r="M3" s="418"/>
      <c r="N3" s="417" t="s">
        <v>243</v>
      </c>
      <c r="O3" s="4"/>
      <c r="P3" s="4"/>
      <c r="Q3" s="4"/>
      <c r="R3" s="4"/>
      <c r="T3" s="1" t="s">
        <v>316</v>
      </c>
      <c r="U3" s="13" t="s">
        <v>0</v>
      </c>
    </row>
    <row r="4" spans="1:25" ht="12" customHeight="1" x14ac:dyDescent="0.2">
      <c r="A4" s="20"/>
      <c r="B4" s="20"/>
      <c r="C4" s="20"/>
      <c r="D4" s="20"/>
      <c r="E4" s="20"/>
      <c r="F4" s="20"/>
      <c r="G4" s="420"/>
      <c r="H4" s="20"/>
      <c r="I4" s="20"/>
      <c r="J4" s="20"/>
      <c r="K4" s="20"/>
      <c r="L4" s="20"/>
      <c r="M4" s="420"/>
      <c r="N4" s="20"/>
      <c r="O4" s="20"/>
      <c r="P4" s="20"/>
      <c r="Q4" s="20"/>
      <c r="R4" s="20"/>
      <c r="T4" s="171"/>
      <c r="U4" s="171"/>
    </row>
    <row r="5" spans="1:25" ht="18" customHeight="1" thickBot="1" x14ac:dyDescent="0.3">
      <c r="A5" s="331"/>
      <c r="B5" s="422" t="s">
        <v>12</v>
      </c>
      <c r="C5" s="332"/>
      <c r="D5" s="332"/>
      <c r="E5" s="332"/>
      <c r="F5" s="332"/>
      <c r="G5" s="331"/>
      <c r="H5" s="563" t="s">
        <v>317</v>
      </c>
      <c r="I5" s="564"/>
      <c r="J5" s="564"/>
      <c r="K5" s="565" t="s">
        <v>246</v>
      </c>
      <c r="L5" s="566"/>
      <c r="M5" s="332"/>
      <c r="N5" s="332"/>
      <c r="O5" s="332"/>
      <c r="P5" s="332"/>
      <c r="Q5" s="426"/>
      <c r="R5" s="335"/>
      <c r="S5" s="393"/>
      <c r="T5" s="1" t="s">
        <v>7</v>
      </c>
      <c r="U5" s="18" t="e">
        <f>PPVersion</f>
        <v>#REF!</v>
      </c>
    </row>
    <row r="6" spans="1:25" ht="15.95" customHeight="1" thickBot="1" x14ac:dyDescent="0.3">
      <c r="A6" s="343"/>
      <c r="B6" s="427" t="s">
        <v>318</v>
      </c>
      <c r="C6" s="338"/>
      <c r="D6" s="338"/>
      <c r="E6" s="429"/>
      <c r="F6" s="379"/>
      <c r="G6" s="343"/>
      <c r="H6" s="567" t="str">
        <f xml:space="preserve"> IF(E7="Residential","",D1 &amp; " Commitment Fee")</f>
        <v>Thrive Commitment Fee</v>
      </c>
      <c r="I6" s="568" t="str">
        <f>IF(OR(E7="Residential",E6=""),"",0.5%)</f>
        <v/>
      </c>
      <c r="J6" s="569"/>
      <c r="K6" s="570">
        <v>0</v>
      </c>
      <c r="L6" s="571"/>
      <c r="M6" s="379"/>
      <c r="N6" s="427" t="s">
        <v>319</v>
      </c>
      <c r="O6" s="379"/>
      <c r="P6" s="379"/>
      <c r="Q6" s="446" t="s">
        <v>246</v>
      </c>
      <c r="R6" s="352"/>
      <c r="S6" s="393"/>
    </row>
    <row r="7" spans="1:25" ht="15.95" customHeight="1" thickBot="1" x14ac:dyDescent="0.25">
      <c r="A7" s="343"/>
      <c r="B7" s="433" t="s">
        <v>249</v>
      </c>
      <c r="C7" s="435"/>
      <c r="D7" s="338"/>
      <c r="E7" s="435"/>
      <c r="F7" s="379"/>
      <c r="G7" s="343"/>
      <c r="H7" s="572" t="s">
        <v>250</v>
      </c>
      <c r="I7" s="573"/>
      <c r="J7" s="573"/>
      <c r="K7" s="574"/>
      <c r="L7" s="571"/>
      <c r="M7" s="379"/>
      <c r="N7" s="439" t="str">
        <f>+IF(OR(AND(C7="Yes",E7="commercial"),C7="NO"),"Up Front Commission","Valuation Fee")</f>
        <v>Valuation Fee</v>
      </c>
      <c r="O7" s="440"/>
      <c r="P7" s="440"/>
      <c r="Q7" s="441">
        <f>IF(AND(C7="Yes",E7="Residential"),K12,(E18*1.1))</f>
        <v>0</v>
      </c>
      <c r="R7" s="352"/>
      <c r="S7" s="393"/>
      <c r="T7" s="480"/>
      <c r="U7" s="480"/>
      <c r="V7" s="480"/>
      <c r="W7" s="448"/>
      <c r="X7" s="448"/>
      <c r="Y7" s="448"/>
    </row>
    <row r="8" spans="1:25" ht="15.95" customHeight="1" thickBot="1" x14ac:dyDescent="0.3">
      <c r="A8" s="343"/>
      <c r="B8" s="507" t="s">
        <v>320</v>
      </c>
      <c r="C8" s="575"/>
      <c r="D8" s="338"/>
      <c r="E8" s="338"/>
      <c r="F8" s="379"/>
      <c r="G8" s="343"/>
      <c r="H8" s="427" t="str">
        <f>IF(E7="","Valuation fee",IF(E7="Commercial","Commercial Valuation Fee","Residential Valuation Fee"))</f>
        <v>Valuation fee</v>
      </c>
      <c r="I8" s="437"/>
      <c r="J8" s="437"/>
      <c r="K8" s="446" t="s">
        <v>246</v>
      </c>
      <c r="L8" s="341"/>
      <c r="M8" s="379"/>
      <c r="N8" s="439" t="str">
        <f>D1&amp;" Establishment Fee "</f>
        <v xml:space="preserve">Thrive Establishment Fee </v>
      </c>
      <c r="O8" s="447"/>
      <c r="P8" s="379"/>
      <c r="Q8" s="441">
        <f>E19*1.1</f>
        <v>0</v>
      </c>
      <c r="R8" s="341"/>
      <c r="S8" s="393"/>
      <c r="T8" s="576"/>
      <c r="U8" s="449"/>
      <c r="V8" s="450" t="s">
        <v>252</v>
      </c>
      <c r="W8" s="448"/>
      <c r="X8" s="448"/>
      <c r="Y8" s="448"/>
    </row>
    <row r="9" spans="1:25" ht="15.95" customHeight="1" thickBot="1" x14ac:dyDescent="0.25">
      <c r="A9" s="343"/>
      <c r="B9" s="427" t="s">
        <v>321</v>
      </c>
      <c r="C9" s="338"/>
      <c r="D9" s="338"/>
      <c r="E9" s="338"/>
      <c r="F9" s="379"/>
      <c r="G9" s="343"/>
      <c r="H9" s="439" t="s">
        <v>125</v>
      </c>
      <c r="I9" s="440"/>
      <c r="J9" s="440"/>
      <c r="K9" s="441">
        <f>IF(E10&gt;=3500001,"Refer to RM",IF(OR(E7="commercial",E7=""),VLOOKUP(E10,Fees!$L$4:$O$15,2),VLOOKUP(E10,Fees!$Q$4:$T$15,2)))</f>
        <v>0</v>
      </c>
      <c r="L9" s="341"/>
      <c r="M9" s="379"/>
      <c r="N9" s="577" t="str">
        <f>IF(E7="Residential","","Less:-  Commitment Fee Paid")</f>
        <v>Less:-  Commitment Fee Paid</v>
      </c>
      <c r="O9" s="578"/>
      <c r="P9" s="569"/>
      <c r="Q9" s="570">
        <f>IF(E7="Residential","",-K6)</f>
        <v>0</v>
      </c>
      <c r="R9" s="341"/>
      <c r="S9" s="579"/>
      <c r="T9" s="471"/>
      <c r="U9" s="449">
        <v>1</v>
      </c>
      <c r="V9" s="450" t="str">
        <f>IF(AND(C7="yes",E7="commercial"),2200,"")</f>
        <v/>
      </c>
      <c r="W9" s="448" t="s">
        <v>255</v>
      </c>
      <c r="X9" s="448"/>
      <c r="Y9" s="448"/>
    </row>
    <row r="10" spans="1:25" ht="15.95" customHeight="1" thickBot="1" x14ac:dyDescent="0.25">
      <c r="A10" s="343"/>
      <c r="B10" s="439" t="s">
        <v>125</v>
      </c>
      <c r="C10" s="338"/>
      <c r="D10" s="338"/>
      <c r="E10" s="429"/>
      <c r="F10" s="379"/>
      <c r="G10" s="343"/>
      <c r="H10" s="439" t="s">
        <v>126</v>
      </c>
      <c r="I10" s="440"/>
      <c r="J10" s="440"/>
      <c r="K10" s="441">
        <f>IF(E11&gt;=3500001,"Refer to RM",IF(OR(E7="commercial",E7=""),VLOOKUP(E11,Fees!$L$4:$O$15,2),VLOOKUP(E11,Fees!$Q$4:$T$15,2)))</f>
        <v>0</v>
      </c>
      <c r="L10" s="341"/>
      <c r="M10" s="379"/>
      <c r="N10" s="458" t="s">
        <v>258</v>
      </c>
      <c r="O10" s="447"/>
      <c r="P10" s="379"/>
      <c r="Q10" s="459">
        <f>SUM(Q7:Q9)</f>
        <v>0</v>
      </c>
      <c r="R10" s="341"/>
      <c r="S10" s="579"/>
      <c r="T10" s="471"/>
      <c r="U10" s="449" t="s">
        <v>322</v>
      </c>
      <c r="V10" s="460" t="str">
        <f>IF(AND(C7="NO",E6&gt;1000000),IF(E6&gt;1000000,E6*0.11%,0),"")</f>
        <v/>
      </c>
      <c r="W10" s="448" t="s">
        <v>259</v>
      </c>
      <c r="X10" s="448"/>
      <c r="Y10" s="448"/>
    </row>
    <row r="11" spans="1:25" ht="15.95" customHeight="1" thickBot="1" x14ac:dyDescent="0.25">
      <c r="A11" s="343"/>
      <c r="B11" s="439" t="s">
        <v>126</v>
      </c>
      <c r="C11" s="338"/>
      <c r="D11" s="338"/>
      <c r="E11" s="429"/>
      <c r="F11" s="379"/>
      <c r="G11" s="343"/>
      <c r="H11" s="439" t="s">
        <v>127</v>
      </c>
      <c r="I11" s="440"/>
      <c r="J11" s="440"/>
      <c r="K11" s="441">
        <f>IF(E12&gt;=3500001,"Refer to RM",IF(OR(E7="commercial",E7=""),VLOOKUP(E12,Fees!$L$4:$O$15,2),VLOOKUP(E12,Fees!$Q$4:$T$15,2)))</f>
        <v>0</v>
      </c>
      <c r="L11" s="341"/>
      <c r="M11" s="379"/>
      <c r="N11" s="370"/>
      <c r="O11" s="447"/>
      <c r="P11" s="379"/>
      <c r="Q11" s="461"/>
      <c r="R11" s="341"/>
      <c r="S11" s="579"/>
      <c r="T11" s="471"/>
      <c r="U11" s="449">
        <v>3</v>
      </c>
      <c r="V11" s="448" t="str">
        <f>IF(AND(C7="No",E6&lt;=1000000),1100,"")</f>
        <v/>
      </c>
      <c r="W11" s="448" t="s">
        <v>261</v>
      </c>
      <c r="X11" s="448"/>
      <c r="Y11" s="448"/>
    </row>
    <row r="12" spans="1:25" ht="15.95" customHeight="1" thickBot="1" x14ac:dyDescent="0.3">
      <c r="A12" s="343"/>
      <c r="B12" s="439" t="s">
        <v>127</v>
      </c>
      <c r="C12" s="580"/>
      <c r="D12" s="338"/>
      <c r="E12" s="429"/>
      <c r="F12" s="379"/>
      <c r="G12" s="343"/>
      <c r="H12" s="458" t="s">
        <v>323</v>
      </c>
      <c r="I12" s="440"/>
      <c r="J12" s="440"/>
      <c r="K12" s="459">
        <f>SUM(K9:K11)</f>
        <v>0</v>
      </c>
      <c r="L12" s="467"/>
      <c r="M12" s="379"/>
      <c r="N12" s="427" t="s">
        <v>263</v>
      </c>
      <c r="O12" s="440"/>
      <c r="P12" s="440"/>
      <c r="Q12" s="446" t="s">
        <v>246</v>
      </c>
      <c r="R12" s="467"/>
      <c r="S12" s="471" t="str">
        <f>IF(E6="","",IF(AND(C7="yes",E7="commercial"),2200,IF(E6&gt;=1000000,1100,0)+(1000000-E6)*0.11%))</f>
        <v/>
      </c>
      <c r="T12" s="471"/>
      <c r="U12" s="471"/>
      <c r="V12" s="448"/>
      <c r="W12" s="448"/>
      <c r="X12" s="448"/>
      <c r="Y12" s="448"/>
    </row>
    <row r="13" spans="1:25" ht="15.75" customHeight="1" thickBot="1" x14ac:dyDescent="0.25">
      <c r="A13" s="343"/>
      <c r="B13" s="458" t="s">
        <v>324</v>
      </c>
      <c r="C13" s="338"/>
      <c r="D13" s="338"/>
      <c r="E13" s="459">
        <f>SUM(E10:E12)</f>
        <v>0</v>
      </c>
      <c r="F13" s="379"/>
      <c r="G13" s="343"/>
      <c r="H13" s="338"/>
      <c r="I13" s="440"/>
      <c r="J13" s="440"/>
      <c r="K13" s="440"/>
      <c r="L13" s="467"/>
      <c r="M13" s="379"/>
      <c r="N13" s="439" t="s">
        <v>265</v>
      </c>
      <c r="O13" s="440"/>
      <c r="P13" s="440"/>
      <c r="Q13" s="441">
        <f>IF(AND(C7="YES",E7="Residential"),"",IF(E6&gt;0,VLOOKUP(E6,Fees!$B$29:$E$36,2)+S14*75*1.1,0))</f>
        <v>0</v>
      </c>
      <c r="R13" s="467"/>
      <c r="S13" s="471" t="str">
        <f>IF(E6="","",IF(E6=0," ",IF(AND(C7="Yes",E7="Residential"),1760,(550*(1+10%)))))</f>
        <v/>
      </c>
      <c r="T13" s="471"/>
      <c r="U13" s="581"/>
      <c r="V13" s="448"/>
      <c r="W13" s="448"/>
      <c r="X13" s="448"/>
      <c r="Y13" s="448"/>
    </row>
    <row r="14" spans="1:25" ht="15.75" customHeight="1" thickBot="1" x14ac:dyDescent="0.25">
      <c r="A14" s="343"/>
      <c r="B14" s="472"/>
      <c r="C14" s="582" t="s">
        <v>325</v>
      </c>
      <c r="D14" s="474"/>
      <c r="E14" s="475">
        <f>IF(E13&gt;0,E6/E13,0)</f>
        <v>0</v>
      </c>
      <c r="F14" s="379"/>
      <c r="G14" s="462"/>
      <c r="H14" s="463"/>
      <c r="I14" s="464"/>
      <c r="J14" s="464"/>
      <c r="K14" s="583"/>
      <c r="L14" s="466"/>
      <c r="M14" s="379"/>
      <c r="N14" s="439" t="s">
        <v>326</v>
      </c>
      <c r="O14" s="440"/>
      <c r="P14" s="440"/>
      <c r="Q14" s="441">
        <f>SUM(V9:V11)</f>
        <v>0</v>
      </c>
      <c r="R14" s="467"/>
      <c r="S14" s="476">
        <f>IF(COUNT(E10:E12)-1&gt;0,COUNT(E10:E12)-1,0)</f>
        <v>0</v>
      </c>
      <c r="T14" s="471"/>
      <c r="U14" s="581"/>
      <c r="V14" s="448"/>
      <c r="W14" s="448"/>
      <c r="X14" s="448"/>
      <c r="Y14" s="448"/>
    </row>
    <row r="15" spans="1:25" ht="15.75" customHeight="1" thickBot="1" x14ac:dyDescent="0.3">
      <c r="A15" s="343"/>
      <c r="C15" s="432"/>
      <c r="D15" s="379"/>
      <c r="E15" s="432"/>
      <c r="F15" s="379"/>
      <c r="G15" s="392"/>
      <c r="H15" s="402"/>
      <c r="K15" s="469"/>
      <c r="L15" s="470"/>
      <c r="M15" s="379"/>
      <c r="N15" s="439" t="s">
        <v>269</v>
      </c>
      <c r="O15" s="440"/>
      <c r="P15" s="440"/>
      <c r="Q15" s="441" t="str">
        <f>IF(E6&gt;0,450," ")</f>
        <v xml:space="preserve"> </v>
      </c>
      <c r="R15" s="467"/>
      <c r="S15" s="579"/>
      <c r="T15" s="584"/>
      <c r="U15" s="471"/>
      <c r="V15" s="448"/>
      <c r="W15" s="448"/>
      <c r="X15" s="448"/>
      <c r="Y15" s="448"/>
    </row>
    <row r="16" spans="1:25" ht="15.75" customHeight="1" thickBot="1" x14ac:dyDescent="0.3">
      <c r="A16" s="343"/>
      <c r="B16" s="427" t="s">
        <v>283</v>
      </c>
      <c r="C16" s="432"/>
      <c r="D16" s="379"/>
      <c r="E16" s="432"/>
      <c r="F16" s="379"/>
      <c r="G16" s="392"/>
      <c r="H16" s="402"/>
      <c r="K16" s="469"/>
      <c r="L16" s="470"/>
      <c r="M16" s="379"/>
      <c r="N16" s="439"/>
      <c r="O16" s="440"/>
      <c r="P16" s="440"/>
      <c r="Q16" s="584"/>
      <c r="R16" s="467"/>
      <c r="S16" s="585"/>
      <c r="T16" s="586"/>
      <c r="U16" s="587"/>
      <c r="V16" s="480"/>
      <c r="W16" s="480"/>
      <c r="X16" s="480"/>
      <c r="Y16" s="448"/>
    </row>
    <row r="17" spans="1:25" ht="15.75" customHeight="1" thickBot="1" x14ac:dyDescent="0.3">
      <c r="A17" s="343"/>
      <c r="B17" s="429"/>
      <c r="C17" s="446" t="s">
        <v>236</v>
      </c>
      <c r="D17" s="379"/>
      <c r="E17" s="446" t="s">
        <v>284</v>
      </c>
      <c r="F17" s="379"/>
      <c r="G17" s="392"/>
      <c r="H17" s="402"/>
      <c r="K17" s="469"/>
      <c r="L17" s="470"/>
      <c r="M17" s="379"/>
      <c r="N17" s="458" t="s">
        <v>270</v>
      </c>
      <c r="O17" s="440"/>
      <c r="P17" s="440"/>
      <c r="Q17" s="459">
        <f>SUM(Q13:Q15)</f>
        <v>0</v>
      </c>
      <c r="R17" s="467"/>
      <c r="S17" s="585"/>
      <c r="T17" s="588"/>
      <c r="U17" s="586"/>
      <c r="V17" s="480"/>
      <c r="W17" s="480"/>
      <c r="X17" s="480"/>
      <c r="Y17" s="448"/>
    </row>
    <row r="18" spans="1:25" ht="15.75" customHeight="1" thickBot="1" x14ac:dyDescent="0.25">
      <c r="A18" s="343"/>
      <c r="B18" s="500" t="str">
        <f>IF(E7="residiential","Up Front max 0.60%","Up Front")</f>
        <v>Up Front</v>
      </c>
      <c r="C18" s="589">
        <f>IF(OR(C7="NO",E7="Commercial"),0.6%,0.5%)</f>
        <v>5.0000000000000001E-3</v>
      </c>
      <c r="D18" s="379">
        <v>0.65</v>
      </c>
      <c r="E18" s="441">
        <f>IF(B17="",(E6*C18),IF(C18&gt;C43,E43,C18*E6))</f>
        <v>0</v>
      </c>
      <c r="F18" s="379"/>
      <c r="G18" s="489"/>
      <c r="H18" s="490"/>
      <c r="I18" s="491"/>
      <c r="J18" s="491"/>
      <c r="K18" s="492"/>
      <c r="L18" s="493"/>
      <c r="M18" s="494"/>
      <c r="N18" s="495"/>
      <c r="O18" s="496"/>
      <c r="P18" s="496"/>
      <c r="Q18" s="496"/>
      <c r="R18" s="497"/>
      <c r="S18" s="585"/>
      <c r="T18" s="587"/>
      <c r="U18" s="587"/>
      <c r="V18" s="480"/>
      <c r="W18" s="480"/>
      <c r="X18" s="480"/>
      <c r="Y18" s="448"/>
    </row>
    <row r="19" spans="1:25" ht="15.75" customHeight="1" thickBot="1" x14ac:dyDescent="0.25">
      <c r="A19" s="343"/>
      <c r="B19" s="500" t="str">
        <f>IF(OR(C7="NO",E7="Commercial",E7=""),"Establishment Fee ","Establishment Fee (Flat Incl*)")</f>
        <v xml:space="preserve">Establishment Fee </v>
      </c>
      <c r="C19" s="589">
        <f>IF(E7="Commercial",0.35%,IF(E7="Residential","",IF(B17=B40,C40,IF(B17=B41,C41,"0"))))</f>
        <v>3.4999999999999996E-3</v>
      </c>
      <c r="D19" s="379"/>
      <c r="E19" s="441">
        <f>IF(E7="Residential",650, C19*E6)</f>
        <v>0</v>
      </c>
      <c r="F19" s="379"/>
      <c r="G19" s="343"/>
      <c r="H19" s="370"/>
      <c r="I19" s="440"/>
      <c r="J19" s="440"/>
      <c r="K19" s="499"/>
      <c r="L19" s="467"/>
      <c r="M19" s="379"/>
      <c r="N19" s="344"/>
      <c r="O19" s="440"/>
      <c r="P19" s="440"/>
      <c r="Q19" s="440"/>
      <c r="R19" s="467"/>
      <c r="S19" s="585"/>
      <c r="T19" s="590"/>
      <c r="U19" s="587"/>
      <c r="V19" s="480"/>
      <c r="W19" s="480"/>
      <c r="X19" s="480"/>
    </row>
    <row r="20" spans="1:25" ht="21.75" customHeight="1" x14ac:dyDescent="0.2">
      <c r="A20" s="343"/>
      <c r="B20" s="591" t="str">
        <f>IF(OR(AND(C7="Yes",E7="Commercial"),(AND(C7="NO",E7=""))), "   Total Establisment Fee","")</f>
        <v/>
      </c>
      <c r="C20" s="589">
        <f>SUM(C18:C19)</f>
        <v>8.5000000000000006E-3</v>
      </c>
      <c r="D20" s="338"/>
      <c r="E20" s="592" t="str">
        <f>IF(OR(AND(C7="Yes",E7="Commercial"),(AND(C7="NO",E7=""))),E18+E19,"")</f>
        <v/>
      </c>
      <c r="F20" s="379"/>
      <c r="G20" s="343"/>
      <c r="H20" s="370" t="str">
        <f>IF(OR(C7="NO",E7="Commercial"),"Total Fees Payable at Acceptance (incl. GST)","")</f>
        <v/>
      </c>
      <c r="I20" s="440"/>
      <c r="J20" s="440"/>
      <c r="K20" s="592" t="str">
        <f>IF(OR(C7="NO",E7="Commercial"),(K12+K6),"0")</f>
        <v>0</v>
      </c>
      <c r="L20" s="467"/>
      <c r="M20" s="379"/>
      <c r="N20" s="427" t="s">
        <v>327</v>
      </c>
      <c r="O20" s="504"/>
      <c r="P20" s="440"/>
      <c r="Q20" s="592">
        <f>Q17+Q10</f>
        <v>0</v>
      </c>
      <c r="R20" s="467"/>
      <c r="S20" s="585"/>
      <c r="T20" s="588"/>
      <c r="U20" s="587"/>
      <c r="V20" s="480"/>
      <c r="W20" s="480"/>
      <c r="X20" s="480"/>
    </row>
    <row r="21" spans="1:25" ht="15.75" customHeight="1" thickBot="1" x14ac:dyDescent="0.25">
      <c r="A21" s="380"/>
      <c r="B21" s="510"/>
      <c r="C21" s="382"/>
      <c r="D21" s="382"/>
      <c r="E21" s="382"/>
      <c r="F21" s="382"/>
      <c r="G21" s="380"/>
      <c r="H21" s="511"/>
      <c r="I21" s="512"/>
      <c r="J21" s="512"/>
      <c r="K21" s="512"/>
      <c r="L21" s="513"/>
      <c r="M21" s="382"/>
      <c r="N21" s="511"/>
      <c r="O21" s="512"/>
      <c r="P21" s="512"/>
      <c r="Q21" s="512"/>
      <c r="R21" s="513"/>
      <c r="S21" s="585"/>
      <c r="T21" s="588"/>
      <c r="U21" s="587"/>
      <c r="V21" s="480"/>
      <c r="W21" s="480"/>
      <c r="X21" s="480"/>
    </row>
    <row r="22" spans="1:25" ht="12.75" customHeight="1" x14ac:dyDescent="0.25">
      <c r="A22" s="385"/>
      <c r="B22" s="514" t="s">
        <v>328</v>
      </c>
      <c r="C22" s="387"/>
      <c r="D22" s="387"/>
      <c r="E22" s="387"/>
      <c r="F22" s="387"/>
      <c r="G22" s="387"/>
      <c r="H22" s="516"/>
      <c r="I22" s="517"/>
      <c r="J22" s="517"/>
      <c r="K22" s="517"/>
      <c r="L22" s="518"/>
      <c r="M22" s="519"/>
      <c r="N22" s="520"/>
      <c r="O22" s="521"/>
      <c r="P22" s="521"/>
      <c r="Q22" s="521"/>
      <c r="R22" s="522"/>
      <c r="S22" s="585"/>
      <c r="T22" s="588"/>
      <c r="U22" s="587"/>
      <c r="V22" s="480"/>
      <c r="W22" s="480"/>
      <c r="X22" s="480"/>
    </row>
    <row r="23" spans="1:25" ht="20.25" customHeight="1" thickBot="1" x14ac:dyDescent="0.25">
      <c r="A23" s="392"/>
      <c r="B23" s="523" t="s">
        <v>329</v>
      </c>
      <c r="C23" s="393"/>
      <c r="D23" s="393"/>
      <c r="E23" s="393"/>
      <c r="F23" s="393"/>
      <c r="G23" s="393"/>
      <c r="H23" s="402"/>
      <c r="L23" s="470"/>
      <c r="M23" s="343"/>
      <c r="N23" s="593" t="s">
        <v>330</v>
      </c>
      <c r="O23" s="440"/>
      <c r="P23" s="440"/>
      <c r="Q23" s="440"/>
      <c r="R23" s="467"/>
      <c r="S23" s="585"/>
      <c r="T23" s="588"/>
      <c r="U23" s="587"/>
      <c r="V23" s="480"/>
      <c r="W23" s="480"/>
      <c r="X23" s="480"/>
    </row>
    <row r="24" spans="1:25" ht="15.95" customHeight="1" thickBot="1" x14ac:dyDescent="0.25">
      <c r="A24" s="392"/>
      <c r="B24" s="523" t="str">
        <f>IF(C7="NO","* Think Tank Establishment Fee depends on the Option selected (either 0.15% or 0.35%). If Option 2 is selected, an account fee of $20 pm applies ($10 per split).","")</f>
        <v/>
      </c>
      <c r="C24" s="393"/>
      <c r="D24" s="393"/>
      <c r="E24" s="393"/>
      <c r="F24" s="393"/>
      <c r="G24" s="393"/>
      <c r="H24" s="402"/>
      <c r="L24" s="470"/>
      <c r="M24" s="343"/>
      <c r="N24" s="594" t="str">
        <f>IF(AND(C7="Yes", E7="Residential"),"Total Fees Payable","Total Fees Payable (incl. Introducer Commission")</f>
        <v>Total Fees Payable (incl. Introducer Commission</v>
      </c>
      <c r="O24" s="440"/>
      <c r="P24" s="440"/>
      <c r="Q24" s="595">
        <f>(Q20+K20)/1.1</f>
        <v>0</v>
      </c>
      <c r="R24" s="467"/>
      <c r="S24" s="479"/>
      <c r="T24" s="596"/>
      <c r="U24" s="480"/>
      <c r="V24" s="480"/>
      <c r="W24" s="480"/>
      <c r="X24" s="480"/>
    </row>
    <row r="25" spans="1:25" ht="15.95" customHeight="1" thickBot="1" x14ac:dyDescent="0.25">
      <c r="A25" s="392"/>
      <c r="B25" s="523" t="s">
        <v>291</v>
      </c>
      <c r="C25" s="393"/>
      <c r="D25" s="393"/>
      <c r="E25" s="393"/>
      <c r="F25" s="393"/>
      <c r="G25" s="393"/>
      <c r="H25" s="402"/>
      <c r="L25" s="470"/>
      <c r="M25" s="343"/>
      <c r="N25" s="439" t="s">
        <v>331</v>
      </c>
      <c r="O25" s="440"/>
      <c r="P25" s="440"/>
      <c r="Q25" s="595">
        <f>Q24*0.1</f>
        <v>0</v>
      </c>
      <c r="R25" s="467"/>
      <c r="S25" s="479"/>
      <c r="T25" s="480"/>
      <c r="U25" s="480"/>
      <c r="V25" s="480"/>
      <c r="W25" s="480"/>
      <c r="X25" s="480"/>
    </row>
    <row r="26" spans="1:25" ht="15.95" customHeight="1" thickBot="1" x14ac:dyDescent="0.25">
      <c r="A26" s="392"/>
      <c r="B26" s="523" t="s">
        <v>293</v>
      </c>
      <c r="C26" s="393"/>
      <c r="D26" s="393"/>
      <c r="E26" s="393"/>
      <c r="F26" s="393"/>
      <c r="G26" s="393"/>
      <c r="H26" s="402"/>
      <c r="L26" s="470"/>
      <c r="M26" s="343"/>
      <c r="N26" s="594" t="s">
        <v>332</v>
      </c>
      <c r="O26" s="440"/>
      <c r="P26" s="440"/>
      <c r="Q26" s="505">
        <f>Q24+Q25</f>
        <v>0</v>
      </c>
      <c r="R26" s="467"/>
      <c r="S26" s="479"/>
      <c r="T26" s="480"/>
      <c r="U26" s="480"/>
      <c r="V26" s="480"/>
      <c r="W26" s="480"/>
      <c r="X26" s="480"/>
    </row>
    <row r="27" spans="1:25" ht="15.95" customHeight="1" thickBot="1" x14ac:dyDescent="0.25">
      <c r="A27" s="396"/>
      <c r="B27" s="597" t="s">
        <v>294</v>
      </c>
      <c r="C27" s="397"/>
      <c r="D27" s="397"/>
      <c r="E27" s="397"/>
      <c r="F27" s="397"/>
      <c r="G27" s="397"/>
      <c r="H27" s="537"/>
      <c r="I27" s="538"/>
      <c r="J27" s="538"/>
      <c r="K27" s="538"/>
      <c r="L27" s="539"/>
      <c r="M27" s="380"/>
      <c r="N27" s="511"/>
      <c r="O27" s="512"/>
      <c r="P27" s="512"/>
      <c r="Q27" s="512"/>
      <c r="R27" s="513"/>
      <c r="S27" s="479"/>
      <c r="T27" s="480"/>
      <c r="U27" s="480"/>
      <c r="V27" s="480"/>
      <c r="W27" s="480"/>
      <c r="X27" s="480"/>
    </row>
    <row r="28" spans="1:25" customFormat="1" ht="20.25" customHeight="1" x14ac:dyDescent="0.25">
      <c r="B28" s="541" t="str">
        <f>A1</f>
        <v>11.12.2025</v>
      </c>
      <c r="C28" s="71"/>
      <c r="D28" s="71"/>
      <c r="E28" s="598" t="s">
        <v>333</v>
      </c>
      <c r="F28" s="599"/>
      <c r="G28" s="599"/>
      <c r="H28" s="600"/>
      <c r="I28" s="599"/>
      <c r="J28" s="599"/>
      <c r="K28" s="599"/>
      <c r="L28" s="599"/>
      <c r="M28" s="599"/>
      <c r="N28" s="600"/>
      <c r="O28" s="2"/>
      <c r="P28" s="2"/>
      <c r="S28" s="599"/>
      <c r="T28" s="599"/>
      <c r="U28" s="599"/>
      <c r="V28" s="599"/>
      <c r="W28" s="599"/>
      <c r="X28" s="599"/>
    </row>
    <row r="29" spans="1:25" s="480" customFormat="1" x14ac:dyDescent="0.2">
      <c r="B29" s="587"/>
      <c r="C29" s="587"/>
      <c r="D29" s="587"/>
      <c r="E29" s="601"/>
      <c r="F29" s="587"/>
      <c r="G29" s="587"/>
      <c r="H29" s="602"/>
      <c r="I29" s="587"/>
      <c r="J29" s="587"/>
      <c r="K29" s="587"/>
      <c r="L29" s="587"/>
      <c r="M29" s="587"/>
      <c r="N29" s="602"/>
      <c r="O29" s="587"/>
      <c r="P29" s="587"/>
      <c r="Q29" s="587"/>
      <c r="R29" s="587"/>
      <c r="S29" s="587"/>
      <c r="T29" s="587"/>
    </row>
    <row r="30" spans="1:25" s="480" customFormat="1" hidden="1" x14ac:dyDescent="0.2">
      <c r="B30" s="587" t="s">
        <v>73</v>
      </c>
      <c r="C30" s="603" t="str">
        <f>IF(C7="NO","","Residential")</f>
        <v>Residential</v>
      </c>
      <c r="D30" s="604"/>
      <c r="E30" s="605"/>
      <c r="F30" s="587"/>
      <c r="G30" s="587"/>
      <c r="H30" s="587"/>
      <c r="I30" s="587"/>
      <c r="J30" s="587"/>
      <c r="K30" s="587"/>
      <c r="L30" s="587"/>
      <c r="M30" s="587"/>
      <c r="N30" s="587"/>
      <c r="O30" s="587"/>
      <c r="P30" s="587"/>
      <c r="Q30" s="587"/>
      <c r="R30" s="587"/>
      <c r="S30" s="587"/>
      <c r="T30" s="587"/>
    </row>
    <row r="31" spans="1:25" s="480" customFormat="1" hidden="1" x14ac:dyDescent="0.2">
      <c r="B31" s="587" t="s">
        <v>72</v>
      </c>
      <c r="C31" s="603" t="str">
        <f>IF(C7="NO","","Commercial")</f>
        <v>Commercial</v>
      </c>
      <c r="D31" s="587"/>
      <c r="E31" s="606">
        <f>IF(E$13&gt;0,E10/E$13,0)</f>
        <v>0</v>
      </c>
      <c r="F31" s="587"/>
      <c r="G31" s="587"/>
      <c r="H31" s="587"/>
      <c r="I31" s="587"/>
      <c r="J31" s="587"/>
      <c r="K31" s="587"/>
      <c r="L31" s="587"/>
      <c r="M31" s="587"/>
      <c r="N31" s="587"/>
      <c r="O31" s="587"/>
      <c r="P31" s="587"/>
      <c r="Q31" s="587"/>
      <c r="R31" s="587"/>
      <c r="S31" s="587"/>
      <c r="T31" s="587"/>
    </row>
    <row r="32" spans="1:25" s="480" customFormat="1" hidden="1" x14ac:dyDescent="0.2">
      <c r="B32" s="587"/>
      <c r="C32" s="587">
        <f>IF(E32=1,0,1)</f>
        <v>1</v>
      </c>
      <c r="D32" s="587"/>
      <c r="E32" s="606">
        <f>IF(E$13&gt;0,E11/E$13,0)</f>
        <v>0</v>
      </c>
      <c r="F32" s="607"/>
      <c r="G32" s="587"/>
      <c r="H32" s="587"/>
      <c r="I32" s="587"/>
      <c r="J32" s="587"/>
      <c r="K32" s="587"/>
      <c r="L32" s="587"/>
      <c r="M32" s="587"/>
      <c r="N32" s="587"/>
      <c r="O32" s="587"/>
      <c r="P32" s="587"/>
      <c r="Q32" s="587"/>
      <c r="R32" s="587"/>
      <c r="S32" s="587"/>
      <c r="T32" s="587"/>
    </row>
    <row r="33" spans="2:24" s="480" customFormat="1" hidden="1" x14ac:dyDescent="0.2">
      <c r="B33" s="587"/>
      <c r="C33" s="587">
        <f>IF(E33=1,0,1)</f>
        <v>1</v>
      </c>
      <c r="D33" s="587"/>
      <c r="E33" s="606">
        <f>IF(E$13&gt;0,E12/E$13,0)</f>
        <v>0</v>
      </c>
      <c r="F33" s="607"/>
      <c r="G33" s="587"/>
      <c r="H33" s="587"/>
      <c r="I33" s="587"/>
      <c r="J33" s="587"/>
      <c r="K33" s="587"/>
      <c r="L33" s="587"/>
      <c r="M33" s="587"/>
      <c r="N33" s="587"/>
      <c r="O33" s="587"/>
      <c r="P33" s="587"/>
      <c r="Q33" s="587"/>
      <c r="R33" s="587"/>
      <c r="S33" s="587"/>
      <c r="T33" s="587"/>
    </row>
    <row r="34" spans="2:24" s="480" customFormat="1" hidden="1" x14ac:dyDescent="0.2">
      <c r="B34" s="587"/>
      <c r="C34" s="587">
        <f>IF(E34=0,0,SUM(C31:C33))</f>
        <v>0</v>
      </c>
      <c r="D34" s="587"/>
      <c r="E34" s="606">
        <f>SUM(E31:E33)</f>
        <v>0</v>
      </c>
      <c r="F34" s="607"/>
      <c r="G34" s="587"/>
      <c r="H34" s="587"/>
      <c r="I34" s="587"/>
      <c r="J34" s="587"/>
      <c r="K34" s="587"/>
      <c r="L34" s="587"/>
      <c r="M34" s="587"/>
      <c r="N34" s="587"/>
      <c r="O34" s="587"/>
      <c r="P34" s="587"/>
      <c r="Q34" s="587"/>
      <c r="R34" s="587"/>
      <c r="S34" s="587"/>
      <c r="T34" s="587"/>
    </row>
    <row r="35" spans="2:24" s="480" customFormat="1" hidden="1" x14ac:dyDescent="0.2">
      <c r="B35" s="587"/>
      <c r="C35" s="587"/>
      <c r="D35" s="587"/>
      <c r="E35" s="606"/>
      <c r="F35" s="607"/>
      <c r="G35" s="587"/>
      <c r="H35" s="587"/>
      <c r="I35" s="587"/>
      <c r="J35" s="587"/>
      <c r="K35" s="587"/>
      <c r="L35" s="587"/>
      <c r="M35" s="587"/>
      <c r="N35" s="587"/>
      <c r="O35" s="587"/>
      <c r="P35" s="587"/>
      <c r="Q35" s="587"/>
      <c r="R35" s="587"/>
      <c r="S35" s="587"/>
      <c r="T35" s="587"/>
    </row>
    <row r="36" spans="2:24" s="480" customFormat="1" hidden="1" x14ac:dyDescent="0.2">
      <c r="B36" s="587"/>
      <c r="C36" s="587"/>
      <c r="D36" s="587"/>
      <c r="E36" s="587"/>
      <c r="F36" s="607"/>
      <c r="G36" s="587"/>
      <c r="H36" s="587"/>
      <c r="I36" s="587"/>
      <c r="J36" s="587"/>
      <c r="K36" s="587"/>
      <c r="L36" s="587"/>
      <c r="M36" s="587"/>
      <c r="N36" s="587"/>
      <c r="O36" s="587"/>
      <c r="P36" s="587"/>
      <c r="Q36" s="587"/>
      <c r="R36" s="587"/>
      <c r="S36" s="587"/>
      <c r="T36" s="587"/>
    </row>
    <row r="37" spans="2:24" s="480" customFormat="1" hidden="1" x14ac:dyDescent="0.2">
      <c r="B37" s="587"/>
      <c r="C37" s="587"/>
      <c r="D37" s="587"/>
      <c r="E37" s="587"/>
      <c r="F37" s="587"/>
      <c r="G37" s="587"/>
      <c r="H37" s="587"/>
      <c r="I37" s="587"/>
      <c r="J37" s="587"/>
      <c r="K37" s="587"/>
      <c r="L37" s="587"/>
      <c r="M37" s="587"/>
      <c r="N37" s="587"/>
      <c r="O37" s="587"/>
      <c r="P37" s="587"/>
      <c r="Q37" s="587"/>
      <c r="R37" s="587"/>
      <c r="S37" s="587"/>
      <c r="T37" s="587"/>
    </row>
    <row r="38" spans="2:24" s="448" customFormat="1" hidden="1" x14ac:dyDescent="0.2">
      <c r="B38" s="587"/>
      <c r="C38" s="587"/>
      <c r="D38" s="587"/>
      <c r="E38" s="587"/>
      <c r="F38" s="587"/>
      <c r="G38" s="587"/>
      <c r="H38" s="587"/>
      <c r="I38" s="587"/>
      <c r="J38" s="587"/>
      <c r="K38" s="587"/>
      <c r="L38" s="587"/>
      <c r="M38" s="587"/>
      <c r="N38" s="587"/>
      <c r="O38" s="587"/>
      <c r="P38" s="587"/>
      <c r="Q38" s="587"/>
      <c r="R38" s="587"/>
      <c r="S38" s="587"/>
      <c r="T38" s="587"/>
      <c r="U38" s="480"/>
      <c r="V38" s="480"/>
      <c r="W38" s="480"/>
      <c r="X38" s="480"/>
    </row>
    <row r="39" spans="2:24" s="448" customFormat="1" hidden="1" x14ac:dyDescent="0.2">
      <c r="B39" s="587"/>
      <c r="C39" s="587"/>
      <c r="D39" s="587"/>
      <c r="E39" s="587"/>
      <c r="F39" s="587"/>
      <c r="G39" s="587"/>
      <c r="H39" s="587"/>
      <c r="I39" s="587"/>
      <c r="J39" s="587"/>
      <c r="K39" s="587"/>
      <c r="L39" s="587"/>
      <c r="M39" s="587"/>
      <c r="N39" s="587"/>
      <c r="O39" s="587"/>
      <c r="P39" s="587"/>
      <c r="Q39" s="587"/>
      <c r="R39" s="587"/>
      <c r="S39" s="587"/>
      <c r="T39" s="587"/>
      <c r="U39" s="480"/>
      <c r="V39" s="480"/>
      <c r="W39" s="480"/>
      <c r="X39" s="480"/>
    </row>
    <row r="40" spans="2:24" s="448" customFormat="1" hidden="1" x14ac:dyDescent="0.2">
      <c r="B40" s="587" t="str">
        <f>IF(OR(C7="No",AND(C7="yes",E7="Commercial")),"Option 1 - 0.95%","")</f>
        <v/>
      </c>
      <c r="C40" s="608">
        <f>IF(B17="*Option 2*",0.15%,0.35%)</f>
        <v>3.4999999999999996E-3</v>
      </c>
      <c r="D40" s="587"/>
      <c r="E40" s="608">
        <v>1.35E-2</v>
      </c>
      <c r="F40" s="587"/>
      <c r="G40" s="587"/>
      <c r="H40" s="587"/>
      <c r="I40" s="587"/>
      <c r="J40" s="587"/>
      <c r="K40" s="587"/>
      <c r="L40" s="587"/>
      <c r="M40" s="587"/>
      <c r="N40" s="587"/>
      <c r="O40" s="587"/>
      <c r="P40" s="587"/>
      <c r="Q40" s="587"/>
      <c r="R40" s="587"/>
      <c r="S40" s="587"/>
      <c r="T40" s="587"/>
      <c r="U40" s="480"/>
      <c r="V40" s="480"/>
      <c r="W40" s="480"/>
      <c r="X40" s="480"/>
    </row>
    <row r="41" spans="2:24" s="448" customFormat="1" hidden="1" x14ac:dyDescent="0.2">
      <c r="B41" s="587" t="str">
        <f>IF(C7="NO","Option 2 - 0.75%","")</f>
        <v/>
      </c>
      <c r="C41" s="608">
        <f>IF(B17="*Option 2*",0.35%,0.15%)</f>
        <v>1.5E-3</v>
      </c>
      <c r="D41" s="587"/>
      <c r="E41" s="608">
        <v>7.4999999999999997E-3</v>
      </c>
      <c r="F41" s="587"/>
      <c r="G41" s="587"/>
      <c r="H41" s="587"/>
      <c r="I41" s="587"/>
      <c r="J41" s="587"/>
      <c r="K41" s="587"/>
      <c r="L41" s="587"/>
      <c r="M41" s="587"/>
      <c r="N41" s="587"/>
      <c r="O41" s="587"/>
      <c r="P41" s="587"/>
      <c r="Q41" s="587"/>
      <c r="R41" s="587"/>
      <c r="S41" s="587"/>
      <c r="T41" s="587"/>
      <c r="U41" s="480"/>
      <c r="V41" s="480"/>
      <c r="W41" s="480"/>
      <c r="X41" s="480"/>
    </row>
    <row r="42" spans="2:24" s="448" customFormat="1" hidden="1" x14ac:dyDescent="0.2">
      <c r="B42" s="587"/>
      <c r="C42" s="609" t="s">
        <v>40</v>
      </c>
      <c r="D42" s="587"/>
      <c r="E42" s="587"/>
      <c r="F42" s="587"/>
      <c r="G42" s="587"/>
      <c r="H42" s="587"/>
      <c r="I42" s="587"/>
      <c r="J42" s="587"/>
      <c r="K42" s="587"/>
      <c r="L42" s="587"/>
      <c r="M42" s="587"/>
      <c r="N42" s="587"/>
      <c r="O42" s="587"/>
      <c r="P42" s="587"/>
      <c r="Q42" s="587"/>
      <c r="R42" s="587"/>
      <c r="S42" s="587"/>
      <c r="T42" s="587"/>
      <c r="U42" s="480"/>
      <c r="V42" s="480"/>
      <c r="W42" s="480"/>
      <c r="X42" s="480"/>
    </row>
    <row r="43" spans="2:24" s="448" customFormat="1" hidden="1" x14ac:dyDescent="0.2">
      <c r="B43" s="471">
        <f>B17</f>
        <v>0</v>
      </c>
      <c r="C43" s="610">
        <f>IF(B43=B40,E40-C40,IF(B43=B41,E41-C41,0))</f>
        <v>0</v>
      </c>
      <c r="D43" s="587"/>
      <c r="E43" s="611"/>
      <c r="F43" s="471"/>
      <c r="G43" s="471"/>
      <c r="H43" s="471"/>
      <c r="I43" s="471"/>
      <c r="J43" s="471"/>
      <c r="K43" s="471"/>
      <c r="L43" s="471"/>
      <c r="M43" s="471"/>
      <c r="N43" s="471"/>
      <c r="O43" s="471"/>
      <c r="P43" s="471"/>
      <c r="Q43" s="471"/>
      <c r="R43" s="471"/>
      <c r="S43" s="587"/>
      <c r="T43" s="587"/>
      <c r="U43" s="480"/>
      <c r="V43" s="480"/>
      <c r="W43" s="480"/>
      <c r="X43" s="480"/>
    </row>
    <row r="44" spans="2:24" s="448" customFormat="1" hidden="1" x14ac:dyDescent="0.2">
      <c r="B44" s="471"/>
      <c r="C44" s="608">
        <f>IF(C18&gt;C43,C18-C43,0)</f>
        <v>5.0000000000000001E-3</v>
      </c>
      <c r="D44" s="587"/>
      <c r="E44" s="587"/>
      <c r="F44" s="471"/>
      <c r="G44" s="471"/>
      <c r="H44" s="471"/>
      <c r="I44" s="471"/>
      <c r="J44" s="471"/>
      <c r="K44" s="471"/>
      <c r="L44" s="471"/>
      <c r="M44" s="471"/>
      <c r="N44" s="471"/>
      <c r="O44" s="471"/>
      <c r="P44" s="471"/>
      <c r="Q44" s="471"/>
      <c r="R44" s="471"/>
      <c r="S44" s="587"/>
      <c r="T44" s="587"/>
      <c r="U44" s="480"/>
      <c r="V44" s="480"/>
      <c r="W44" s="480"/>
      <c r="X44" s="480"/>
    </row>
    <row r="45" spans="2:24" s="448" customFormat="1" hidden="1" x14ac:dyDescent="0.2">
      <c r="B45" s="471"/>
      <c r="C45" s="587"/>
      <c r="D45" s="587"/>
      <c r="E45" s="587"/>
      <c r="F45" s="471"/>
      <c r="G45" s="471"/>
      <c r="H45" s="471"/>
      <c r="I45" s="471"/>
      <c r="J45" s="471"/>
      <c r="K45" s="471"/>
      <c r="L45" s="471"/>
      <c r="M45" s="471"/>
      <c r="N45" s="471"/>
      <c r="O45" s="471"/>
      <c r="P45" s="471"/>
      <c r="Q45" s="471"/>
      <c r="R45" s="471"/>
      <c r="S45" s="587"/>
      <c r="T45" s="587"/>
      <c r="U45" s="480"/>
      <c r="V45" s="480"/>
      <c r="W45" s="480"/>
      <c r="X45" s="480"/>
    </row>
    <row r="46" spans="2:24" s="448" customFormat="1" hidden="1" x14ac:dyDescent="0.2">
      <c r="B46" s="587"/>
      <c r="C46" s="587"/>
      <c r="D46" s="587"/>
      <c r="E46" s="587"/>
      <c r="F46" s="471"/>
      <c r="G46" s="471"/>
      <c r="H46" s="471"/>
      <c r="I46" s="471"/>
      <c r="J46" s="471"/>
      <c r="K46" s="471"/>
      <c r="L46" s="471"/>
      <c r="M46" s="471"/>
      <c r="N46" s="471"/>
      <c r="O46" s="471"/>
      <c r="P46" s="471"/>
      <c r="Q46" s="471"/>
      <c r="R46" s="471"/>
      <c r="S46" s="471"/>
      <c r="T46" s="471"/>
    </row>
    <row r="47" spans="2:24" s="544" customFormat="1" hidden="1" x14ac:dyDescent="0.2">
      <c r="B47" s="587"/>
      <c r="C47" s="587"/>
      <c r="D47" s="587"/>
      <c r="E47" s="612"/>
      <c r="F47" s="612"/>
      <c r="G47" s="612"/>
      <c r="H47" s="612"/>
      <c r="I47" s="612"/>
      <c r="J47" s="612"/>
      <c r="K47" s="612"/>
      <c r="L47" s="612"/>
      <c r="M47" s="612"/>
      <c r="N47" s="612"/>
      <c r="O47" s="612"/>
      <c r="P47" s="612"/>
      <c r="Q47" s="612"/>
      <c r="R47" s="612"/>
      <c r="S47" s="612"/>
      <c r="T47" s="612"/>
    </row>
    <row r="48" spans="2:24" s="544" customFormat="1" hidden="1" x14ac:dyDescent="0.2">
      <c r="B48" s="587"/>
      <c r="C48" s="587"/>
      <c r="D48" s="587"/>
      <c r="E48" s="612"/>
      <c r="F48" s="612"/>
      <c r="G48" s="612"/>
      <c r="H48" s="612"/>
      <c r="I48" s="612"/>
      <c r="J48" s="612"/>
      <c r="K48" s="612"/>
      <c r="L48" s="612"/>
      <c r="M48" s="612"/>
      <c r="N48" s="612"/>
      <c r="O48" s="612"/>
      <c r="P48" s="612"/>
      <c r="Q48" s="612"/>
      <c r="R48" s="612"/>
      <c r="S48" s="612"/>
      <c r="T48" s="612"/>
    </row>
    <row r="49" spans="2:20" s="544" customFormat="1" hidden="1" x14ac:dyDescent="0.2">
      <c r="B49" s="587"/>
      <c r="C49" s="587"/>
      <c r="D49" s="587"/>
      <c r="E49" s="612"/>
      <c r="F49" s="612"/>
      <c r="G49" s="612"/>
      <c r="H49" s="612"/>
      <c r="I49" s="612"/>
      <c r="J49" s="612"/>
      <c r="K49" s="612"/>
      <c r="L49" s="612"/>
      <c r="M49" s="612"/>
      <c r="N49" s="612"/>
      <c r="O49" s="612"/>
      <c r="P49" s="612"/>
      <c r="Q49" s="612"/>
      <c r="R49" s="612"/>
      <c r="S49" s="612"/>
      <c r="T49" s="612"/>
    </row>
    <row r="50" spans="2:20" s="544" customFormat="1" hidden="1" x14ac:dyDescent="0.2">
      <c r="B50" s="612"/>
      <c r="C50" s="612"/>
      <c r="D50" s="612"/>
      <c r="E50" s="612"/>
      <c r="F50" s="612"/>
      <c r="G50" s="612"/>
      <c r="H50" s="612"/>
      <c r="I50" s="612"/>
      <c r="J50" s="612"/>
      <c r="K50" s="612"/>
      <c r="L50" s="612"/>
      <c r="M50" s="612"/>
      <c r="N50" s="612"/>
      <c r="O50" s="612"/>
      <c r="P50" s="612"/>
      <c r="Q50" s="612"/>
      <c r="R50" s="612"/>
      <c r="S50" s="612"/>
      <c r="T50" s="612"/>
    </row>
    <row r="51" spans="2:20" s="480" customFormat="1" hidden="1" x14ac:dyDescent="0.2">
      <c r="B51" s="587"/>
      <c r="C51" s="587"/>
      <c r="D51" s="587"/>
      <c r="E51" s="587"/>
      <c r="F51" s="587"/>
      <c r="G51" s="587"/>
      <c r="H51" s="587"/>
      <c r="I51" s="587"/>
      <c r="J51" s="587"/>
      <c r="K51" s="587"/>
      <c r="L51" s="587"/>
      <c r="M51" s="587"/>
      <c r="N51" s="587"/>
      <c r="O51" s="587"/>
      <c r="P51" s="587"/>
      <c r="Q51" s="587"/>
      <c r="R51" s="587"/>
      <c r="S51" s="587"/>
      <c r="T51" s="587"/>
    </row>
    <row r="52" spans="2:20" s="480" customFormat="1" hidden="1" x14ac:dyDescent="0.2">
      <c r="B52" s="587"/>
      <c r="C52" s="587"/>
      <c r="D52" s="587"/>
      <c r="E52" s="587"/>
      <c r="F52" s="587"/>
      <c r="G52" s="587"/>
      <c r="H52" s="587"/>
      <c r="I52" s="587"/>
      <c r="J52" s="587"/>
      <c r="K52" s="587"/>
      <c r="L52" s="587"/>
      <c r="M52" s="587"/>
      <c r="N52" s="587"/>
      <c r="O52" s="587"/>
      <c r="P52" s="587"/>
      <c r="Q52" s="587"/>
      <c r="R52" s="587"/>
      <c r="S52" s="587"/>
      <c r="T52" s="587"/>
    </row>
    <row r="53" spans="2:20" s="480" customFormat="1" hidden="1" x14ac:dyDescent="0.2">
      <c r="B53" s="587"/>
      <c r="C53" s="587"/>
      <c r="D53" s="587"/>
      <c r="E53" s="587"/>
      <c r="F53" s="587"/>
      <c r="G53" s="587"/>
      <c r="H53" s="587"/>
      <c r="I53" s="587"/>
      <c r="J53" s="587"/>
      <c r="K53" s="587"/>
      <c r="L53" s="587"/>
      <c r="M53" s="587"/>
      <c r="N53" s="587"/>
      <c r="O53" s="587"/>
      <c r="P53" s="587"/>
      <c r="Q53" s="587"/>
      <c r="R53" s="587"/>
      <c r="S53" s="587"/>
      <c r="T53" s="587"/>
    </row>
    <row r="54" spans="2:20" s="480" customFormat="1" hidden="1" x14ac:dyDescent="0.2">
      <c r="B54" s="587"/>
      <c r="C54" s="587"/>
      <c r="D54" s="587"/>
      <c r="E54" s="587"/>
      <c r="F54" s="587"/>
      <c r="G54" s="587"/>
      <c r="H54" s="587"/>
      <c r="I54" s="587"/>
      <c r="J54" s="587"/>
      <c r="K54" s="587"/>
      <c r="L54" s="587"/>
      <c r="M54" s="587"/>
      <c r="N54" s="587"/>
      <c r="O54" s="587"/>
      <c r="P54" s="587"/>
      <c r="Q54" s="587"/>
      <c r="R54" s="587"/>
      <c r="S54" s="587"/>
      <c r="T54" s="587"/>
    </row>
    <row r="55" spans="2:20" s="480" customFormat="1" hidden="1" x14ac:dyDescent="0.2">
      <c r="B55" s="587"/>
      <c r="C55" s="587"/>
      <c r="D55" s="587"/>
      <c r="E55" s="587"/>
      <c r="F55" s="587"/>
      <c r="G55" s="587"/>
      <c r="H55" s="587"/>
      <c r="I55" s="587"/>
      <c r="J55" s="587"/>
      <c r="K55" s="587"/>
      <c r="L55" s="587"/>
      <c r="M55" s="587"/>
      <c r="N55" s="587"/>
      <c r="O55" s="587"/>
      <c r="P55" s="587"/>
      <c r="Q55" s="587"/>
      <c r="R55" s="587"/>
      <c r="S55" s="587"/>
      <c r="T55" s="587"/>
    </row>
    <row r="56" spans="2:20" s="480" customFormat="1" hidden="1" x14ac:dyDescent="0.2">
      <c r="B56" s="587"/>
      <c r="C56" s="587"/>
      <c r="D56" s="587"/>
      <c r="E56" s="587"/>
      <c r="F56" s="587"/>
      <c r="G56" s="587"/>
      <c r="H56" s="587"/>
      <c r="I56" s="587"/>
      <c r="J56" s="587"/>
      <c r="K56" s="587"/>
      <c r="L56" s="587"/>
      <c r="M56" s="587"/>
      <c r="N56" s="587"/>
      <c r="O56" s="587"/>
      <c r="P56" s="587"/>
      <c r="Q56" s="587"/>
      <c r="R56" s="587"/>
      <c r="S56" s="587"/>
      <c r="T56" s="587"/>
    </row>
    <row r="57" spans="2:20" s="480" customFormat="1" hidden="1" x14ac:dyDescent="0.2">
      <c r="B57" s="587"/>
      <c r="C57" s="587"/>
      <c r="D57" s="587"/>
      <c r="E57" s="587"/>
      <c r="F57" s="587"/>
      <c r="G57" s="587"/>
      <c r="H57" s="587"/>
      <c r="I57" s="587"/>
      <c r="J57" s="587"/>
      <c r="K57" s="587"/>
      <c r="L57" s="587"/>
      <c r="M57" s="587"/>
      <c r="N57" s="587"/>
      <c r="O57" s="587"/>
      <c r="P57" s="587"/>
      <c r="Q57" s="587"/>
      <c r="R57" s="587"/>
      <c r="S57" s="587"/>
      <c r="T57" s="587"/>
    </row>
    <row r="58" spans="2:20" s="480" customFormat="1" hidden="1" x14ac:dyDescent="0.2">
      <c r="B58" s="587"/>
      <c r="C58" s="587"/>
      <c r="D58" s="587"/>
      <c r="E58" s="587"/>
      <c r="F58" s="587"/>
      <c r="G58" s="587"/>
      <c r="H58" s="587"/>
      <c r="I58" s="587"/>
      <c r="J58" s="587"/>
      <c r="K58" s="587"/>
      <c r="L58" s="587"/>
      <c r="M58" s="587"/>
      <c r="N58" s="587"/>
      <c r="O58" s="587"/>
      <c r="P58" s="587"/>
      <c r="Q58" s="587"/>
      <c r="R58" s="587"/>
      <c r="S58" s="587"/>
      <c r="T58" s="587"/>
    </row>
    <row r="59" spans="2:20" s="480" customFormat="1" hidden="1" x14ac:dyDescent="0.2">
      <c r="B59" s="587"/>
      <c r="C59" s="587"/>
      <c r="D59" s="587"/>
      <c r="E59" s="587"/>
      <c r="F59" s="587"/>
      <c r="G59" s="587"/>
      <c r="H59" s="587"/>
      <c r="I59" s="587"/>
      <c r="J59" s="587"/>
      <c r="K59" s="587"/>
      <c r="L59" s="587"/>
      <c r="M59" s="587"/>
      <c r="N59" s="587"/>
      <c r="O59" s="587"/>
      <c r="P59" s="587"/>
      <c r="Q59" s="587"/>
      <c r="R59" s="587"/>
      <c r="S59" s="587"/>
      <c r="T59" s="587"/>
    </row>
    <row r="60" spans="2:20" s="480" customFormat="1" hidden="1" x14ac:dyDescent="0.2">
      <c r="B60" s="587"/>
      <c r="C60" s="587"/>
      <c r="D60" s="587"/>
      <c r="E60" s="587"/>
      <c r="F60" s="587"/>
      <c r="G60" s="587"/>
      <c r="H60" s="587"/>
      <c r="I60" s="587"/>
      <c r="J60" s="587"/>
      <c r="K60" s="587"/>
      <c r="L60" s="587"/>
      <c r="M60" s="587"/>
      <c r="N60" s="587"/>
      <c r="O60" s="587"/>
      <c r="P60" s="587"/>
      <c r="Q60" s="587"/>
      <c r="R60" s="587"/>
      <c r="S60" s="587"/>
      <c r="T60" s="587"/>
    </row>
    <row r="61" spans="2:20" s="480" customFormat="1" hidden="1" x14ac:dyDescent="0.2">
      <c r="B61" s="587"/>
      <c r="C61" s="587"/>
      <c r="D61" s="587"/>
      <c r="E61" s="587"/>
      <c r="F61" s="587"/>
      <c r="G61" s="587"/>
      <c r="H61" s="587"/>
      <c r="I61" s="587"/>
      <c r="J61" s="587"/>
      <c r="K61" s="587"/>
      <c r="L61" s="587"/>
      <c r="M61" s="587"/>
      <c r="N61" s="587"/>
      <c r="O61" s="587"/>
      <c r="P61" s="587"/>
      <c r="Q61" s="587"/>
      <c r="R61" s="587"/>
      <c r="S61" s="587"/>
      <c r="T61" s="587"/>
    </row>
    <row r="62" spans="2:20" s="480" customFormat="1" hidden="1" x14ac:dyDescent="0.2">
      <c r="B62" s="587"/>
      <c r="C62" s="587"/>
      <c r="D62" s="587"/>
      <c r="E62" s="587"/>
      <c r="F62" s="587"/>
      <c r="G62" s="587"/>
      <c r="H62" s="587"/>
      <c r="I62" s="587"/>
      <c r="J62" s="587"/>
      <c r="K62" s="587"/>
      <c r="L62" s="587"/>
      <c r="M62" s="587"/>
      <c r="N62" s="587"/>
      <c r="O62" s="587"/>
      <c r="P62" s="587"/>
      <c r="Q62" s="587"/>
      <c r="R62" s="587"/>
      <c r="S62" s="587"/>
      <c r="T62" s="587"/>
    </row>
    <row r="63" spans="2:20" s="480" customFormat="1" hidden="1" x14ac:dyDescent="0.2">
      <c r="B63" s="587"/>
      <c r="C63" s="587"/>
      <c r="D63" s="587"/>
      <c r="E63" s="587"/>
      <c r="F63" s="587"/>
      <c r="G63" s="587"/>
      <c r="H63" s="587"/>
      <c r="I63" s="587"/>
      <c r="J63" s="587"/>
      <c r="K63" s="587"/>
      <c r="L63" s="587"/>
      <c r="M63" s="587"/>
      <c r="N63" s="587"/>
      <c r="O63" s="587"/>
      <c r="P63" s="587"/>
      <c r="Q63" s="587"/>
      <c r="R63" s="587"/>
      <c r="S63" s="587"/>
      <c r="T63" s="587"/>
    </row>
    <row r="64" spans="2:20" s="480" customFormat="1" hidden="1" x14ac:dyDescent="0.2">
      <c r="B64" s="587"/>
      <c r="C64" s="587"/>
      <c r="D64" s="587"/>
      <c r="E64" s="587"/>
      <c r="F64" s="587"/>
      <c r="G64" s="587"/>
      <c r="H64" s="587"/>
      <c r="I64" s="587"/>
      <c r="J64" s="587"/>
      <c r="K64" s="587"/>
      <c r="L64" s="587"/>
      <c r="M64" s="587"/>
      <c r="N64" s="587"/>
      <c r="O64" s="587"/>
      <c r="P64" s="587"/>
      <c r="Q64" s="587"/>
      <c r="R64" s="587"/>
      <c r="S64" s="587"/>
      <c r="T64" s="587"/>
    </row>
    <row r="65" spans="2:20" s="480" customFormat="1" hidden="1" x14ac:dyDescent="0.2">
      <c r="B65" s="587"/>
      <c r="C65" s="587"/>
      <c r="D65" s="587"/>
      <c r="E65" s="587"/>
      <c r="F65" s="587"/>
      <c r="G65" s="587"/>
      <c r="H65" s="587"/>
      <c r="I65" s="587"/>
      <c r="J65" s="587"/>
      <c r="K65" s="587"/>
      <c r="L65" s="587"/>
      <c r="M65" s="587"/>
      <c r="N65" s="587"/>
      <c r="O65" s="587"/>
      <c r="P65" s="587"/>
      <c r="Q65" s="587"/>
      <c r="R65" s="587"/>
      <c r="S65" s="587"/>
      <c r="T65" s="587"/>
    </row>
    <row r="66" spans="2:20" s="480" customFormat="1" hidden="1" x14ac:dyDescent="0.2">
      <c r="B66" s="587"/>
      <c r="C66" s="587"/>
      <c r="D66" s="587"/>
      <c r="E66" s="587"/>
      <c r="F66" s="587"/>
      <c r="G66" s="587"/>
      <c r="H66" s="587"/>
      <c r="I66" s="587"/>
      <c r="J66" s="587"/>
      <c r="K66" s="587"/>
      <c r="L66" s="587"/>
      <c r="M66" s="587"/>
      <c r="N66" s="587"/>
      <c r="O66" s="587"/>
      <c r="P66" s="587"/>
      <c r="Q66" s="587"/>
      <c r="R66" s="587"/>
      <c r="S66" s="587"/>
      <c r="T66" s="587"/>
    </row>
    <row r="67" spans="2:20" s="480" customFormat="1" hidden="1" x14ac:dyDescent="0.2">
      <c r="B67" s="587"/>
      <c r="C67" s="587"/>
      <c r="D67" s="587"/>
      <c r="E67" s="587"/>
      <c r="F67" s="587"/>
      <c r="G67" s="587"/>
      <c r="H67" s="587"/>
      <c r="I67" s="587"/>
      <c r="J67" s="587"/>
      <c r="K67" s="587"/>
      <c r="L67" s="587"/>
      <c r="M67" s="587"/>
      <c r="N67" s="587"/>
      <c r="O67" s="587"/>
      <c r="P67" s="587"/>
      <c r="Q67" s="587"/>
      <c r="R67" s="587"/>
      <c r="S67" s="587"/>
      <c r="T67" s="587"/>
    </row>
    <row r="68" spans="2:20" s="480" customFormat="1" hidden="1" x14ac:dyDescent="0.2">
      <c r="B68" s="587"/>
      <c r="C68" s="587"/>
      <c r="D68" s="587"/>
      <c r="E68" s="587"/>
      <c r="F68" s="587"/>
      <c r="G68" s="587"/>
      <c r="H68" s="587"/>
      <c r="I68" s="587"/>
      <c r="J68" s="587"/>
      <c r="K68" s="587"/>
      <c r="L68" s="587"/>
      <c r="M68" s="587"/>
      <c r="N68" s="587"/>
      <c r="O68" s="587"/>
      <c r="P68" s="587"/>
      <c r="Q68" s="587"/>
      <c r="R68" s="587"/>
      <c r="S68" s="587"/>
      <c r="T68" s="587"/>
    </row>
    <row r="69" spans="2:20" s="480" customFormat="1" hidden="1" x14ac:dyDescent="0.2">
      <c r="B69" s="587"/>
      <c r="C69" s="587"/>
      <c r="D69" s="587"/>
      <c r="E69" s="587"/>
      <c r="F69" s="587"/>
      <c r="G69" s="587"/>
      <c r="H69" s="587"/>
      <c r="I69" s="587"/>
      <c r="J69" s="587"/>
      <c r="K69" s="587"/>
      <c r="L69" s="587"/>
      <c r="M69" s="587"/>
      <c r="N69" s="587"/>
      <c r="O69" s="587"/>
      <c r="P69" s="587"/>
      <c r="Q69" s="587"/>
      <c r="R69" s="587"/>
      <c r="S69" s="587"/>
      <c r="T69" s="587"/>
    </row>
    <row r="70" spans="2:20" s="480" customFormat="1" hidden="1" x14ac:dyDescent="0.2">
      <c r="B70" s="587"/>
      <c r="C70" s="587"/>
      <c r="D70" s="587"/>
      <c r="E70" s="587"/>
      <c r="F70" s="587"/>
      <c r="G70" s="587"/>
      <c r="H70" s="587"/>
      <c r="I70" s="587"/>
      <c r="J70" s="587"/>
      <c r="K70" s="587"/>
      <c r="L70" s="587"/>
      <c r="M70" s="587"/>
      <c r="N70" s="587"/>
      <c r="O70" s="587"/>
      <c r="P70" s="587"/>
      <c r="Q70" s="587"/>
      <c r="R70" s="587"/>
      <c r="S70" s="587"/>
      <c r="T70" s="587"/>
    </row>
    <row r="71" spans="2:20" s="480" customFormat="1" hidden="1" x14ac:dyDescent="0.2">
      <c r="B71" s="587"/>
      <c r="C71" s="587"/>
      <c r="D71" s="587"/>
      <c r="E71" s="587"/>
      <c r="F71" s="587"/>
      <c r="G71" s="587"/>
      <c r="H71" s="587"/>
      <c r="I71" s="587"/>
      <c r="J71" s="587"/>
      <c r="K71" s="587"/>
      <c r="L71" s="587"/>
      <c r="M71" s="587"/>
      <c r="N71" s="587"/>
      <c r="O71" s="587"/>
      <c r="P71" s="587"/>
      <c r="Q71" s="587"/>
      <c r="R71" s="587"/>
      <c r="S71" s="587"/>
      <c r="T71" s="587"/>
    </row>
    <row r="72" spans="2:20" s="480" customFormat="1" hidden="1" x14ac:dyDescent="0.2">
      <c r="B72" s="587"/>
      <c r="C72" s="587"/>
      <c r="D72" s="587"/>
      <c r="E72" s="587"/>
      <c r="F72" s="587"/>
      <c r="G72" s="587"/>
      <c r="H72" s="587"/>
      <c r="I72" s="587"/>
      <c r="J72" s="587"/>
      <c r="K72" s="587"/>
      <c r="L72" s="587"/>
      <c r="M72" s="587"/>
      <c r="N72" s="587"/>
      <c r="O72" s="587"/>
      <c r="P72" s="587"/>
      <c r="Q72" s="587"/>
      <c r="R72" s="587"/>
      <c r="S72" s="587"/>
      <c r="T72" s="587"/>
    </row>
    <row r="73" spans="2:20" s="480" customFormat="1" hidden="1" x14ac:dyDescent="0.2">
      <c r="B73" s="587"/>
      <c r="C73" s="587"/>
      <c r="D73" s="587"/>
      <c r="E73" s="587"/>
      <c r="F73" s="587"/>
      <c r="G73" s="587"/>
      <c r="H73" s="587"/>
      <c r="I73" s="587"/>
      <c r="J73" s="587"/>
      <c r="K73" s="587"/>
      <c r="L73" s="587"/>
      <c r="M73" s="587"/>
      <c r="N73" s="587"/>
      <c r="O73" s="587"/>
      <c r="P73" s="587"/>
      <c r="Q73" s="587"/>
      <c r="R73" s="587"/>
      <c r="S73" s="587"/>
      <c r="T73" s="587"/>
    </row>
    <row r="74" spans="2:20" s="480" customFormat="1" hidden="1" x14ac:dyDescent="0.2">
      <c r="B74" s="587"/>
      <c r="C74" s="587"/>
      <c r="D74" s="587"/>
      <c r="E74" s="587"/>
      <c r="F74" s="587"/>
      <c r="G74" s="587"/>
      <c r="H74" s="587"/>
      <c r="I74" s="587"/>
      <c r="J74" s="587"/>
      <c r="K74" s="587"/>
      <c r="L74" s="587"/>
      <c r="M74" s="587"/>
      <c r="N74" s="587"/>
      <c r="O74" s="587"/>
      <c r="P74" s="587"/>
      <c r="Q74" s="587"/>
      <c r="R74" s="587"/>
      <c r="S74" s="587"/>
      <c r="T74" s="587"/>
    </row>
    <row r="75" spans="2:20" s="480" customFormat="1" hidden="1" x14ac:dyDescent="0.2">
      <c r="B75" s="587"/>
      <c r="C75" s="587"/>
      <c r="D75" s="587"/>
      <c r="E75" s="587"/>
      <c r="F75" s="587"/>
      <c r="G75" s="587"/>
      <c r="H75" s="587"/>
      <c r="I75" s="587"/>
      <c r="J75" s="587"/>
      <c r="K75" s="587"/>
      <c r="L75" s="587"/>
      <c r="M75" s="587"/>
      <c r="N75" s="587"/>
      <c r="O75" s="587"/>
      <c r="P75" s="587"/>
      <c r="Q75" s="587"/>
      <c r="R75" s="587"/>
      <c r="S75" s="587"/>
      <c r="T75" s="587"/>
    </row>
    <row r="76" spans="2:20" s="480" customFormat="1" hidden="1" x14ac:dyDescent="0.2">
      <c r="B76" s="587"/>
      <c r="C76" s="587"/>
      <c r="D76" s="587"/>
      <c r="E76" s="587"/>
      <c r="F76" s="587"/>
      <c r="G76" s="587"/>
      <c r="H76" s="587"/>
      <c r="I76" s="587"/>
      <c r="J76" s="587"/>
      <c r="K76" s="587"/>
      <c r="L76" s="587"/>
      <c r="M76" s="587"/>
      <c r="N76" s="587"/>
      <c r="O76" s="587"/>
      <c r="P76" s="587"/>
      <c r="Q76" s="587"/>
      <c r="R76" s="587"/>
      <c r="S76" s="587"/>
      <c r="T76" s="587"/>
    </row>
    <row r="77" spans="2:20" s="480" customFormat="1" hidden="1" x14ac:dyDescent="0.2">
      <c r="B77" s="587"/>
      <c r="C77" s="587"/>
      <c r="D77" s="587"/>
      <c r="E77" s="587"/>
      <c r="F77" s="587"/>
      <c r="G77" s="587"/>
      <c r="H77" s="587"/>
      <c r="I77" s="587"/>
      <c r="J77" s="587"/>
      <c r="K77" s="587"/>
      <c r="L77" s="587"/>
      <c r="M77" s="587"/>
      <c r="N77" s="587"/>
      <c r="O77" s="587"/>
      <c r="P77" s="587"/>
      <c r="Q77" s="587"/>
      <c r="R77" s="587"/>
      <c r="S77" s="587"/>
      <c r="T77" s="587"/>
    </row>
    <row r="78" spans="2:20" s="480" customFormat="1" hidden="1" x14ac:dyDescent="0.2">
      <c r="B78" s="587"/>
      <c r="C78" s="587"/>
      <c r="D78" s="587"/>
      <c r="E78" s="587"/>
      <c r="F78" s="587"/>
      <c r="G78" s="587"/>
      <c r="H78" s="587"/>
      <c r="I78" s="587"/>
      <c r="J78" s="587"/>
      <c r="K78" s="587"/>
      <c r="L78" s="587"/>
      <c r="M78" s="587"/>
      <c r="N78" s="587"/>
      <c r="O78" s="587"/>
      <c r="P78" s="587"/>
      <c r="Q78" s="587"/>
      <c r="R78" s="587"/>
      <c r="S78" s="587"/>
      <c r="T78" s="587"/>
    </row>
    <row r="79" spans="2:20" s="480" customFormat="1" hidden="1" x14ac:dyDescent="0.2">
      <c r="B79" s="587"/>
      <c r="C79" s="587"/>
      <c r="D79" s="587"/>
      <c r="E79" s="587"/>
      <c r="F79" s="587"/>
      <c r="G79" s="587"/>
      <c r="H79" s="587"/>
      <c r="I79" s="587"/>
      <c r="J79" s="587"/>
      <c r="K79" s="587"/>
      <c r="L79" s="587"/>
      <c r="M79" s="587"/>
      <c r="N79" s="587"/>
      <c r="O79" s="587"/>
      <c r="P79" s="587"/>
      <c r="Q79" s="587"/>
      <c r="R79" s="587"/>
      <c r="S79" s="587"/>
      <c r="T79" s="587"/>
    </row>
    <row r="80" spans="2:20" s="480" customFormat="1" hidden="1" x14ac:dyDescent="0.2">
      <c r="B80" s="587"/>
      <c r="C80" s="587"/>
      <c r="D80" s="587"/>
      <c r="E80" s="587"/>
      <c r="F80" s="587"/>
      <c r="G80" s="587"/>
      <c r="H80" s="587"/>
      <c r="I80" s="587"/>
      <c r="J80" s="587"/>
      <c r="K80" s="587"/>
      <c r="L80" s="587"/>
      <c r="M80" s="587"/>
      <c r="N80" s="587"/>
      <c r="O80" s="587"/>
      <c r="P80" s="587"/>
      <c r="Q80" s="587"/>
      <c r="R80" s="587"/>
      <c r="S80" s="587"/>
      <c r="T80" s="587"/>
    </row>
    <row r="81" spans="2:20" s="480" customFormat="1" hidden="1" x14ac:dyDescent="0.2">
      <c r="B81" s="587"/>
      <c r="C81" s="587"/>
      <c r="D81" s="587"/>
      <c r="E81" s="587"/>
      <c r="F81" s="587"/>
      <c r="G81" s="587"/>
      <c r="H81" s="587"/>
      <c r="I81" s="587"/>
      <c r="J81" s="587"/>
      <c r="K81" s="587"/>
      <c r="L81" s="587"/>
      <c r="M81" s="587"/>
      <c r="N81" s="587"/>
      <c r="O81" s="587"/>
      <c r="P81" s="587"/>
      <c r="Q81" s="587"/>
      <c r="R81" s="587"/>
      <c r="S81" s="587"/>
      <c r="T81" s="587"/>
    </row>
    <row r="82" spans="2:20" s="480" customFormat="1" hidden="1" x14ac:dyDescent="0.2">
      <c r="B82" s="587"/>
      <c r="C82" s="587"/>
      <c r="D82" s="587"/>
      <c r="E82" s="587"/>
      <c r="F82" s="587"/>
      <c r="G82" s="587"/>
      <c r="H82" s="587"/>
      <c r="I82" s="587"/>
      <c r="J82" s="587"/>
      <c r="K82" s="587"/>
      <c r="L82" s="587"/>
      <c r="M82" s="587"/>
      <c r="N82" s="587"/>
      <c r="O82" s="587"/>
      <c r="P82" s="587"/>
      <c r="Q82" s="587"/>
      <c r="R82" s="587"/>
      <c r="S82" s="587"/>
      <c r="T82" s="587"/>
    </row>
    <row r="83" spans="2:20" s="480" customFormat="1" hidden="1" x14ac:dyDescent="0.2">
      <c r="B83" s="587"/>
      <c r="C83" s="587"/>
      <c r="D83" s="587"/>
      <c r="E83" s="587"/>
      <c r="F83" s="587"/>
      <c r="G83" s="587"/>
      <c r="H83" s="587"/>
      <c r="I83" s="587"/>
      <c r="J83" s="587"/>
      <c r="K83" s="587"/>
      <c r="L83" s="587"/>
      <c r="M83" s="587"/>
      <c r="N83" s="587"/>
      <c r="O83" s="587"/>
      <c r="P83" s="587"/>
      <c r="Q83" s="587"/>
      <c r="R83" s="587"/>
      <c r="S83" s="587"/>
      <c r="T83" s="587"/>
    </row>
    <row r="84" spans="2:20" s="480" customFormat="1" hidden="1" x14ac:dyDescent="0.2">
      <c r="B84" s="587"/>
      <c r="C84" s="587"/>
      <c r="D84" s="587"/>
      <c r="E84" s="587"/>
      <c r="F84" s="587"/>
      <c r="G84" s="587"/>
      <c r="H84" s="587"/>
      <c r="I84" s="587"/>
      <c r="J84" s="587"/>
      <c r="K84" s="587"/>
      <c r="L84" s="587"/>
      <c r="M84" s="587"/>
      <c r="N84" s="587"/>
      <c r="O84" s="587"/>
      <c r="P84" s="587"/>
      <c r="Q84" s="587"/>
      <c r="R84" s="587"/>
      <c r="S84" s="587"/>
      <c r="T84" s="587"/>
    </row>
    <row r="85" spans="2:20" s="480" customFormat="1" hidden="1" x14ac:dyDescent="0.2">
      <c r="B85" s="587"/>
      <c r="C85" s="587"/>
      <c r="D85" s="587"/>
      <c r="E85" s="587"/>
      <c r="F85" s="587"/>
      <c r="G85" s="587"/>
      <c r="H85" s="587"/>
      <c r="I85" s="587"/>
      <c r="J85" s="587"/>
      <c r="K85" s="587"/>
      <c r="L85" s="587"/>
      <c r="M85" s="587"/>
      <c r="N85" s="587"/>
      <c r="O85" s="587"/>
      <c r="P85" s="587"/>
      <c r="Q85" s="587"/>
      <c r="R85" s="587"/>
      <c r="S85" s="587"/>
      <c r="T85" s="587"/>
    </row>
    <row r="86" spans="2:20" s="480" customFormat="1" hidden="1" x14ac:dyDescent="0.2">
      <c r="B86" s="587"/>
      <c r="C86" s="587"/>
      <c r="D86" s="587"/>
      <c r="E86" s="587"/>
      <c r="F86" s="587"/>
      <c r="G86" s="587"/>
      <c r="H86" s="587"/>
      <c r="I86" s="587"/>
      <c r="J86" s="587"/>
      <c r="K86" s="587"/>
      <c r="L86" s="587"/>
      <c r="M86" s="587"/>
      <c r="N86" s="587"/>
      <c r="O86" s="587"/>
      <c r="P86" s="587"/>
      <c r="Q86" s="587"/>
      <c r="R86" s="587"/>
      <c r="S86" s="587"/>
      <c r="T86" s="587"/>
    </row>
    <row r="87" spans="2:20" s="480" customFormat="1" hidden="1" x14ac:dyDescent="0.2">
      <c r="B87" s="587"/>
      <c r="C87" s="587"/>
      <c r="D87" s="587"/>
      <c r="E87" s="587"/>
      <c r="F87" s="587"/>
      <c r="G87" s="587"/>
      <c r="H87" s="587"/>
      <c r="I87" s="587"/>
      <c r="J87" s="587"/>
      <c r="K87" s="587"/>
      <c r="L87" s="587"/>
      <c r="M87" s="587"/>
      <c r="N87" s="587"/>
      <c r="O87" s="587"/>
      <c r="P87" s="587"/>
      <c r="Q87" s="587"/>
      <c r="R87" s="587"/>
      <c r="S87" s="587"/>
      <c r="T87" s="587"/>
    </row>
    <row r="88" spans="2:20" s="540" customFormat="1" hidden="1" x14ac:dyDescent="0.2">
      <c r="B88" s="613"/>
      <c r="C88" s="613"/>
      <c r="D88" s="613"/>
      <c r="E88" s="613"/>
      <c r="F88" s="613"/>
      <c r="G88" s="613"/>
      <c r="H88" s="613"/>
      <c r="I88" s="613"/>
      <c r="J88" s="613"/>
      <c r="K88" s="613"/>
      <c r="L88" s="613"/>
      <c r="M88" s="613"/>
      <c r="N88" s="613"/>
      <c r="O88" s="613"/>
      <c r="P88" s="613"/>
      <c r="Q88" s="613"/>
      <c r="R88" s="613"/>
      <c r="S88" s="613"/>
      <c r="T88" s="613"/>
    </row>
    <row r="89" spans="2:20" s="540" customFormat="1" hidden="1" x14ac:dyDescent="0.2"/>
    <row r="90" spans="2:20" s="540" customFormat="1" hidden="1" x14ac:dyDescent="0.2"/>
    <row r="91" spans="2:20" s="480" customFormat="1" hidden="1" x14ac:dyDescent="0.2"/>
    <row r="92" spans="2:20" s="480" customFormat="1" hidden="1" x14ac:dyDescent="0.2"/>
    <row r="93" spans="2:20" s="480" customFormat="1" hidden="1" x14ac:dyDescent="0.2"/>
    <row r="94" spans="2:20" hidden="1" x14ac:dyDescent="0.2"/>
    <row r="95" spans="2:20" hidden="1" x14ac:dyDescent="0.2"/>
    <row r="96" spans="2:20"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sheetData>
  <sheetProtection algorithmName="SHA-512" hashValue="rlQ/7vk8i27Pkk+pvQE/fRQdhM9gCXpB17Ac9GZDOvARvGocxgoBCYAxrEVnreiwFJeF1ydyebPaJO0RRaWRVw==" saltValue="hN6XwJQx0IUgNrxnKieElg==" spinCount="100000" sheet="1" objects="1" scenarios="1"/>
  <conditionalFormatting sqref="B1:K1">
    <cfRule type="expression" dxfId="77" priority="76">
      <formula>OR(FeeBranding="PLANEdge")</formula>
    </cfRule>
    <cfRule type="expression" dxfId="76" priority="78">
      <formula>OR(FeeBranding="ChoiceExcel")</formula>
    </cfRule>
  </conditionalFormatting>
  <conditionalFormatting sqref="B1:K1">
    <cfRule type="expression" dxfId="75" priority="77">
      <formula>OR(FeeBranding="FASTExcel", FeeBranding="ChoiceEdge")</formula>
    </cfRule>
  </conditionalFormatting>
  <conditionalFormatting sqref="C7">
    <cfRule type="cellIs" dxfId="74" priority="75" stopIfTrue="1" operator="equal">
      <formula>"Yes"</formula>
    </cfRule>
  </conditionalFormatting>
  <conditionalFormatting sqref="I6 K6 Q7:Q9 Q13:Q15 Q24:Q25 E18:E19 E14 K9:K11">
    <cfRule type="expression" dxfId="73" priority="74">
      <formula>OR(FeeBranding="ChoiceExcel", FeeBranding="ChoiceEdge", FeeBranding="ChoiceEdge", FeeBranding="FastEdge", FeeBranding="FastExcel", FeeBranding="FASTExcel",FeeBranding="PLANExcel",FeeBranding="PLANEdge")</formula>
    </cfRule>
  </conditionalFormatting>
  <conditionalFormatting sqref="K12 E13 K20 Q20 Q17 Q10 Q26">
    <cfRule type="expression" dxfId="72" priority="73">
      <formula>OR(FeeBranding="ChoiceExcel", FeeBranding="ChoiceEdge", FeeBranding="ChoiceEdge", FeeBranding="FastEdge", FeeBranding="FastExcel", FeeBranding="FASTExcel",FeeBranding="PLANExcel",FeeBranding="PLANEdge")</formula>
    </cfRule>
  </conditionalFormatting>
  <conditionalFormatting sqref="A2:G4">
    <cfRule type="expression" dxfId="71" priority="68">
      <formula>OR(PPBranding = "Con")</formula>
    </cfRule>
    <cfRule type="expression" dxfId="70" priority="69">
      <formula>PPBranding = "RM"</formula>
    </cfRule>
    <cfRule type="expression" dxfId="69" priority="70">
      <formula>OR(PPBranding="PLANExcel", PPBranding="PLANEdge")</formula>
    </cfRule>
    <cfRule type="expression" dxfId="68" priority="71">
      <formula>OR(PPBranding="FastExcel", PPBranding="FastEdge")</formula>
    </cfRule>
    <cfRule type="expression" dxfId="67" priority="72">
      <formula>OR(PPBranding="ChoiceExcel", PPBranding="ChoiceEdge")</formula>
    </cfRule>
  </conditionalFormatting>
  <conditionalFormatting sqref="I2:K4">
    <cfRule type="expression" dxfId="66" priority="63">
      <formula>OR(PPBranding = "Con")</formula>
    </cfRule>
    <cfRule type="expression" dxfId="65" priority="64">
      <formula>PPBranding = "RM"</formula>
    </cfRule>
    <cfRule type="expression" dxfId="64" priority="65">
      <formula>OR(PPBranding="PLANExcel", PPBranding="PLANEdge")</formula>
    </cfRule>
    <cfRule type="expression" dxfId="63" priority="66">
      <formula>OR(PPBranding="FastExcel", PPBranding="FastEdge")</formula>
    </cfRule>
    <cfRule type="expression" dxfId="62" priority="67">
      <formula>OR(PPBranding="ChoiceExcel", PPBranding="ChoiceEdge")</formula>
    </cfRule>
  </conditionalFormatting>
  <conditionalFormatting sqref="O2:R4">
    <cfRule type="expression" dxfId="61" priority="58">
      <formula>OR(PPBranding = "Con")</formula>
    </cfRule>
    <cfRule type="expression" dxfId="60" priority="59">
      <formula>PPBranding = "RM"</formula>
    </cfRule>
    <cfRule type="expression" dxfId="59" priority="60">
      <formula>OR(PPBranding="PLANExcel", PPBranding="PLANEdge")</formula>
    </cfRule>
    <cfRule type="expression" dxfId="58" priority="61">
      <formula>OR(PPBranding="FastExcel", PPBranding="FastEdge")</formula>
    </cfRule>
    <cfRule type="expression" dxfId="57" priority="62">
      <formula>OR(PPBranding="ChoiceExcel", PPBranding="ChoiceEdge")</formula>
    </cfRule>
  </conditionalFormatting>
  <conditionalFormatting sqref="G2:G4">
    <cfRule type="expression" dxfId="56" priority="53">
      <formula>OR(PPBranding = "Con")</formula>
    </cfRule>
    <cfRule type="expression" dxfId="55" priority="54">
      <formula>PPBranding = "RM"</formula>
    </cfRule>
    <cfRule type="expression" dxfId="54" priority="55">
      <formula>OR(PPBranding="PLANExcel", PPBranding="PLANEdge")</formula>
    </cfRule>
    <cfRule type="expression" dxfId="53" priority="56">
      <formula>OR(PPBranding="FastExcel", PPBranding="FastEdge")</formula>
    </cfRule>
    <cfRule type="expression" dxfId="52" priority="57">
      <formula>OR(PPBranding="ChoiceExcel", PPBranding="ChoiceEdge")</formula>
    </cfRule>
  </conditionalFormatting>
  <conditionalFormatting sqref="H2:H4">
    <cfRule type="expression" dxfId="51" priority="48">
      <formula>OR(PPBranding = "Con")</formula>
    </cfRule>
    <cfRule type="expression" dxfId="50" priority="49">
      <formula>PPBranding = "RM"</formula>
    </cfRule>
    <cfRule type="expression" dxfId="49" priority="50">
      <formula>OR(PPBranding="PLANExcel", PPBranding="PLANEdge")</formula>
    </cfRule>
    <cfRule type="expression" dxfId="48" priority="51">
      <formula>OR(PPBranding="FastExcel", PPBranding="FastEdge")</formula>
    </cfRule>
    <cfRule type="expression" dxfId="47" priority="52">
      <formula>OR(PPBranding="ChoiceExcel", PPBranding="ChoiceEdge")</formula>
    </cfRule>
  </conditionalFormatting>
  <conditionalFormatting sqref="L2:M4">
    <cfRule type="expression" dxfId="46" priority="43">
      <formula>OR(PPBranding = "Con")</formula>
    </cfRule>
    <cfRule type="expression" dxfId="45" priority="44">
      <formula>PPBranding = "RM"</formula>
    </cfRule>
    <cfRule type="expression" dxfId="44" priority="45">
      <formula>OR(PPBranding="PLANExcel", PPBranding="PLANEdge")</formula>
    </cfRule>
    <cfRule type="expression" dxfId="43" priority="46">
      <formula>OR(PPBranding="FastExcel", PPBranding="FastEdge")</formula>
    </cfRule>
    <cfRule type="expression" dxfId="42" priority="47">
      <formula>OR(PPBranding="ChoiceExcel", PPBranding="ChoiceEdge")</formula>
    </cfRule>
  </conditionalFormatting>
  <conditionalFormatting sqref="M2:M4">
    <cfRule type="expression" dxfId="41" priority="38">
      <formula>OR(PPBranding = "Con")</formula>
    </cfRule>
    <cfRule type="expression" dxfId="40" priority="39">
      <formula>PPBranding = "RM"</formula>
    </cfRule>
    <cfRule type="expression" dxfId="39" priority="40">
      <formula>OR(PPBranding="PLANExcel", PPBranding="PLANEdge")</formula>
    </cfRule>
    <cfRule type="expression" dxfId="38" priority="41">
      <formula>OR(PPBranding="FastExcel", PPBranding="FastEdge")</formula>
    </cfRule>
    <cfRule type="expression" dxfId="37" priority="42">
      <formula>OR(PPBranding="ChoiceExcel", PPBranding="ChoiceEdge")</formula>
    </cfRule>
  </conditionalFormatting>
  <conditionalFormatting sqref="N2:N4">
    <cfRule type="expression" dxfId="36" priority="33">
      <formula>OR(FeeBranding = "Con")</formula>
    </cfRule>
    <cfRule type="expression" dxfId="35" priority="35">
      <formula>OR(FeeBranding="PLANExcel", FeeBranding="PLANEdge")</formula>
    </cfRule>
    <cfRule type="expression" dxfId="34" priority="36">
      <formula>OR(FeeBranding="FastExcel", FeeBranding="FastEdge")</formula>
    </cfRule>
    <cfRule type="expression" dxfId="33" priority="37">
      <formula>OR(FeeBranding="ChoiceExcel", FeeBranding="ChoiceEdge")</formula>
    </cfRule>
  </conditionalFormatting>
  <conditionalFormatting sqref="A1">
    <cfRule type="expression" dxfId="32" priority="30">
      <formula>OR(ComBranding="PLANEdge")</formula>
    </cfRule>
    <cfRule type="expression" dxfId="31" priority="32">
      <formula>OR(ComBranding="ChoiceExcel")</formula>
    </cfRule>
  </conditionalFormatting>
  <conditionalFormatting sqref="A1">
    <cfRule type="expression" dxfId="30" priority="31">
      <formula>OR(ComBranding="FASTExcel", ComBranding="ChoiceEdge")</formula>
    </cfRule>
  </conditionalFormatting>
  <conditionalFormatting sqref="E7">
    <cfRule type="expression" dxfId="29" priority="29">
      <formula>$C$7&lt;&gt;"YES"</formula>
    </cfRule>
  </conditionalFormatting>
  <conditionalFormatting sqref="E20">
    <cfRule type="expression" dxfId="28" priority="21">
      <formula>AND($C$7="Yes",$E$7="")</formula>
    </cfRule>
    <cfRule type="expression" dxfId="27" priority="22">
      <formula>AND($C$7="NO",$E$7="Commercial")</formula>
    </cfRule>
    <cfRule type="expression" dxfId="26" priority="25">
      <formula>AND($C$7="Yes",$E$7="Residential")</formula>
    </cfRule>
    <cfRule type="expression" dxfId="25" priority="27">
      <formula>$E$7+"Residential"</formula>
    </cfRule>
    <cfRule type="expression" dxfId="24" priority="28">
      <formula>OR(FeeBranding="ChoiceExcel", FeeBranding="ChoiceEdge", FeeBranding="ChoiceEdge", FeeBranding="FastEdge", FeeBranding="FastExcel", FeeBranding="FASTExcel",FeeBranding="PLANExcel",FeeBranding="PLANEdge")</formula>
    </cfRule>
  </conditionalFormatting>
  <conditionalFormatting sqref="Q9">
    <cfRule type="expression" dxfId="23" priority="24">
      <formula>AND($C$7="yes",$E$7="Residential")</formula>
    </cfRule>
    <cfRule type="expression" dxfId="22" priority="26">
      <formula>AND($C$7="NO",$E$7="Residential")</formula>
    </cfRule>
  </conditionalFormatting>
  <conditionalFormatting sqref="C19">
    <cfRule type="expression" dxfId="21" priority="23">
      <formula>$C$19="0"</formula>
    </cfRule>
  </conditionalFormatting>
  <conditionalFormatting sqref="B17">
    <cfRule type="expression" dxfId="20" priority="4">
      <formula>OR($B$17="Option 1 - 0.95%",$B$17="Option 2 - 0.75%")</formula>
    </cfRule>
    <cfRule type="expression" dxfId="19" priority="8">
      <formula>$C$7="NO"</formula>
    </cfRule>
    <cfRule type="expression" dxfId="18" priority="9">
      <formula>$E$7="Commercial"</formula>
    </cfRule>
    <cfRule type="expression" dxfId="17" priority="19">
      <formula>AND($C$7="",$E$7="")</formula>
    </cfRule>
    <cfRule type="expression" dxfId="16" priority="20">
      <formula>AND($C$7="yes",$E$7="Residential")</formula>
    </cfRule>
  </conditionalFormatting>
  <conditionalFormatting sqref="I6">
    <cfRule type="expression" dxfId="15" priority="18">
      <formula>$E$7="Residential"</formula>
    </cfRule>
  </conditionalFormatting>
  <conditionalFormatting sqref="K6">
    <cfRule type="expression" dxfId="14" priority="17">
      <formula>$E$7="residential"</formula>
    </cfRule>
  </conditionalFormatting>
  <conditionalFormatting sqref="K5">
    <cfRule type="expression" dxfId="13" priority="16">
      <formula>$E$7="Residential"</formula>
    </cfRule>
  </conditionalFormatting>
  <conditionalFormatting sqref="H7">
    <cfRule type="expression" dxfId="12" priority="15">
      <formula>$E$7="Residential"</formula>
    </cfRule>
  </conditionalFormatting>
  <conditionalFormatting sqref="C20">
    <cfRule type="expression" dxfId="11" priority="13">
      <formula>AND($C$7="yes",$E$7="Residential")</formula>
    </cfRule>
    <cfRule type="expression" dxfId="10" priority="14">
      <formula>$C$20&gt;0</formula>
    </cfRule>
  </conditionalFormatting>
  <conditionalFormatting sqref="A2:R4">
    <cfRule type="expression" dxfId="3" priority="1">
      <formula>FeeBranding = "YBR"</formula>
    </cfRule>
    <cfRule type="expression" dxfId="4" priority="2">
      <formula>FeeBranding = "Paramount"</formula>
    </cfRule>
    <cfRule type="expression" dxfId="9" priority="3">
      <formula>OR(FeeBranding = "Thrive")</formula>
    </cfRule>
    <cfRule type="expression" dxfId="8" priority="10">
      <formula>OR(FeeBranding = "AFG")</formula>
    </cfRule>
    <cfRule type="expression" dxfId="7" priority="11">
      <formula>OR(PPBranding = "Go Beyond")</formula>
    </cfRule>
    <cfRule type="expression" dxfId="6" priority="12">
      <formula>OR(PPBranding = "AFG Align")</formula>
    </cfRule>
    <cfRule type="expression" dxfId="5" priority="34">
      <formula>FeeBranding = "RM"</formula>
    </cfRule>
  </conditionalFormatting>
  <conditionalFormatting sqref="K20">
    <cfRule type="expression" dxfId="2" priority="5">
      <formula>$K$20="0"</formula>
    </cfRule>
    <cfRule type="expression" dxfId="1" priority="6">
      <formula>AND($C$7="Yes",$E$7="Residential")</formula>
    </cfRule>
    <cfRule type="expression" dxfId="0" priority="7">
      <formula>AND($C$7="Yes",$E$7="")</formula>
    </cfRule>
  </conditionalFormatting>
  <dataValidations count="6">
    <dataValidation type="list" allowBlank="1" showInputMessage="1" showErrorMessage="1" error="Select Yes or No only" sqref="C7" xr:uid="{253D40BD-BA66-452E-87AE-BE53776FF395}">
      <formula1>$B$29:$B$31</formula1>
    </dataValidation>
    <dataValidation type="list" allowBlank="1" showInputMessage="1" showErrorMessage="1" sqref="E7" xr:uid="{69E7C443-BBF6-442F-9BCE-33131C3DC4B4}">
      <formula1>$C$29:$C$31</formula1>
    </dataValidation>
    <dataValidation type="whole" operator="greaterThanOrEqual" allowBlank="1" showInputMessage="1" showErrorMessage="1" error="Must be a positive value - Zero is not accepted. Use the delete button to remove a value." sqref="E10:E12" xr:uid="{DD1C4022-2C6A-4A72-89AB-1D2D0EF719A7}">
      <formula1>1</formula1>
    </dataValidation>
    <dataValidation type="list" allowBlank="1" showInputMessage="1" showErrorMessage="1" error="Select Yes or No only" sqref="C8" xr:uid="{CEF3BF6F-FE95-4C31-A856-2D7E946365D0}">
      <formula1>$B$30:$B$31</formula1>
    </dataValidation>
    <dataValidation type="list" errorStyle="information" allowBlank="1" showInputMessage="1" showErrorMessage="1" errorTitle="Choose" error="Choose from the list above under Establishment Fee &amp; Up Front Commission" sqref="B17" xr:uid="{932D03B2-7E9F-40C5-9878-A595A8680735}">
      <formula1>$B$39:$B$41</formula1>
    </dataValidation>
    <dataValidation type="decimal" allowBlank="1" showInputMessage="1" showErrorMessage="1" error="Max 1.0% up front commission" sqref="C18" xr:uid="{3A87095F-8533-425B-B409-C7D9835A3C4D}">
      <formula1>0</formula1>
      <formula2>0.01</formula2>
    </dataValidation>
  </dataValidations>
  <pageMargins left="0.32" right="0.23" top="0.72" bottom="0.65" header="0.28999999999999998" footer="0.3"/>
  <pageSetup paperSize="9" scale="84" orientation="landscape" r:id="rId1"/>
  <headerFooter alignWithMargins="0">
    <oddFooter>&amp;L&amp;"Arial Narrow,Regular"&amp;8Calculator Printed: &amp;D @ &amp;T&amp;R&amp;"Arial Narrow,Bold"&amp;8Copyright Think Tank Group Pty Ltd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7BE8-335C-488F-9AF2-D1E3996DB79C}">
  <sheetPr codeName="Sheet8">
    <tabColor rgb="FFFFFFCC"/>
  </sheetPr>
  <dimension ref="B1:Z47"/>
  <sheetViews>
    <sheetView topLeftCell="A16" workbookViewId="0">
      <selection activeCell="E31" sqref="E31"/>
    </sheetView>
  </sheetViews>
  <sheetFormatPr defaultColWidth="8.85546875" defaultRowHeight="12.75" x14ac:dyDescent="0.2"/>
  <cols>
    <col min="1" max="1" width="3.140625" style="185" customWidth="1"/>
    <col min="2" max="2" width="16.28515625" style="185" customWidth="1"/>
    <col min="3" max="5" width="12.7109375" style="185" customWidth="1"/>
    <col min="6" max="6" width="3.28515625" style="185" customWidth="1"/>
    <col min="7" max="7" width="13.7109375" style="185" customWidth="1"/>
    <col min="8" max="10" width="12.7109375" style="185" customWidth="1"/>
    <col min="11" max="11" width="3.28515625" style="185" customWidth="1"/>
    <col min="12" max="12" width="13.7109375" style="185" customWidth="1"/>
    <col min="13" max="15" width="12.7109375" style="185" customWidth="1"/>
    <col min="16" max="16" width="2.85546875" style="185" customWidth="1"/>
    <col min="17" max="17" width="13.7109375" style="185" customWidth="1"/>
    <col min="18" max="20" width="12.7109375" style="185" customWidth="1"/>
    <col min="21" max="16384" width="8.85546875" style="185"/>
  </cols>
  <sheetData>
    <row r="1" spans="2:25" x14ac:dyDescent="0.2">
      <c r="B1" s="308" t="s">
        <v>2</v>
      </c>
      <c r="G1" s="308" t="s">
        <v>1</v>
      </c>
      <c r="L1" s="308" t="s">
        <v>336</v>
      </c>
      <c r="Q1" s="308" t="s">
        <v>337</v>
      </c>
    </row>
    <row r="2" spans="2:25" x14ac:dyDescent="0.2">
      <c r="D2" s="442"/>
    </row>
    <row r="3" spans="2:25" ht="13.5" thickBot="1" x14ac:dyDescent="0.25">
      <c r="B3" s="308" t="s">
        <v>338</v>
      </c>
      <c r="G3" s="308" t="s">
        <v>338</v>
      </c>
      <c r="L3" s="308" t="s">
        <v>338</v>
      </c>
      <c r="Q3" s="308" t="s">
        <v>338</v>
      </c>
    </row>
    <row r="4" spans="2:25" ht="13.5" thickBot="1" x14ac:dyDescent="0.25">
      <c r="B4" s="614" t="s">
        <v>321</v>
      </c>
      <c r="C4" s="615" t="s">
        <v>339</v>
      </c>
      <c r="D4" s="616" t="s">
        <v>203</v>
      </c>
      <c r="E4" s="617" t="s">
        <v>340</v>
      </c>
      <c r="G4" s="614" t="s">
        <v>321</v>
      </c>
      <c r="H4" s="615" t="s">
        <v>339</v>
      </c>
      <c r="I4" s="616" t="s">
        <v>203</v>
      </c>
      <c r="J4" s="617" t="s">
        <v>340</v>
      </c>
      <c r="L4" s="614" t="s">
        <v>321</v>
      </c>
      <c r="M4" s="615" t="s">
        <v>339</v>
      </c>
      <c r="N4" s="616" t="s">
        <v>203</v>
      </c>
      <c r="O4" s="617" t="s">
        <v>340</v>
      </c>
      <c r="Q4" s="614" t="s">
        <v>321</v>
      </c>
      <c r="R4" s="615" t="s">
        <v>339</v>
      </c>
      <c r="S4" s="616" t="s">
        <v>203</v>
      </c>
      <c r="T4" s="617" t="s">
        <v>340</v>
      </c>
    </row>
    <row r="5" spans="2:25" x14ac:dyDescent="0.2">
      <c r="B5" s="618">
        <v>0</v>
      </c>
      <c r="C5" s="619">
        <v>0</v>
      </c>
      <c r="D5" s="620">
        <f t="shared" ref="D5:D14" si="0">C5/11</f>
        <v>0</v>
      </c>
      <c r="E5" s="621">
        <f t="shared" ref="E5:E14" si="1">C5-D5</f>
        <v>0</v>
      </c>
      <c r="G5" s="618">
        <v>0</v>
      </c>
      <c r="H5" s="619">
        <f>C5</f>
        <v>0</v>
      </c>
      <c r="I5" s="620">
        <f t="shared" ref="I5:I14" si="2">H5/11</f>
        <v>0</v>
      </c>
      <c r="J5" s="621">
        <f t="shared" ref="J5:J14" si="3">H5-I5</f>
        <v>0</v>
      </c>
      <c r="L5" s="618">
        <v>0</v>
      </c>
      <c r="M5" s="619">
        <f>H5</f>
        <v>0</v>
      </c>
      <c r="N5" s="620">
        <f t="shared" ref="N5:N14" si="4">M5/11</f>
        <v>0</v>
      </c>
      <c r="O5" s="621">
        <f t="shared" ref="O5:O14" si="5">M5-N5</f>
        <v>0</v>
      </c>
      <c r="Q5" s="618">
        <v>0</v>
      </c>
      <c r="R5" s="619">
        <f>M5</f>
        <v>0</v>
      </c>
      <c r="S5" s="620">
        <f t="shared" ref="S5" si="6">R5/11</f>
        <v>0</v>
      </c>
      <c r="T5" s="621">
        <f t="shared" ref="T5" si="7">R5-S5</f>
        <v>0</v>
      </c>
    </row>
    <row r="6" spans="2:25" x14ac:dyDescent="0.2">
      <c r="B6" s="622">
        <v>1</v>
      </c>
      <c r="C6" s="623">
        <f>1200+120</f>
        <v>1320</v>
      </c>
      <c r="D6" s="621">
        <f t="shared" si="0"/>
        <v>120</v>
      </c>
      <c r="E6" s="621">
        <f t="shared" si="1"/>
        <v>1200</v>
      </c>
      <c r="G6" s="622">
        <v>1</v>
      </c>
      <c r="H6" s="623">
        <f t="shared" ref="H6:H14" si="8">C6</f>
        <v>1320</v>
      </c>
      <c r="I6" s="621">
        <f t="shared" si="2"/>
        <v>120</v>
      </c>
      <c r="J6" s="621">
        <f t="shared" si="3"/>
        <v>1200</v>
      </c>
      <c r="L6" s="622">
        <v>1</v>
      </c>
      <c r="M6" s="623">
        <f t="shared" ref="M6:M14" si="9">H6</f>
        <v>1320</v>
      </c>
      <c r="N6" s="621">
        <f t="shared" si="4"/>
        <v>120</v>
      </c>
      <c r="O6" s="621">
        <f t="shared" si="5"/>
        <v>1200</v>
      </c>
      <c r="Q6" s="622">
        <v>1</v>
      </c>
      <c r="R6" s="623">
        <v>385</v>
      </c>
      <c r="S6" s="621">
        <f>R6*10%</f>
        <v>38.5</v>
      </c>
      <c r="T6" s="621">
        <f>R6-S6</f>
        <v>346.5</v>
      </c>
    </row>
    <row r="7" spans="2:25" x14ac:dyDescent="0.2">
      <c r="B7" s="624">
        <v>500001</v>
      </c>
      <c r="C7" s="623">
        <f>1200+120</f>
        <v>1320</v>
      </c>
      <c r="D7" s="621">
        <f t="shared" si="0"/>
        <v>120</v>
      </c>
      <c r="E7" s="621">
        <f t="shared" si="1"/>
        <v>1200</v>
      </c>
      <c r="F7" s="625"/>
      <c r="G7" s="624">
        <v>500001</v>
      </c>
      <c r="H7" s="623">
        <f t="shared" si="8"/>
        <v>1320</v>
      </c>
      <c r="I7" s="621">
        <f t="shared" si="2"/>
        <v>120</v>
      </c>
      <c r="J7" s="621">
        <f t="shared" si="3"/>
        <v>1200</v>
      </c>
      <c r="K7" s="625"/>
      <c r="L7" s="624">
        <v>500001</v>
      </c>
      <c r="M7" s="623">
        <f t="shared" si="9"/>
        <v>1320</v>
      </c>
      <c r="N7" s="621">
        <f t="shared" si="4"/>
        <v>120</v>
      </c>
      <c r="O7" s="621">
        <f t="shared" si="5"/>
        <v>1200</v>
      </c>
      <c r="Q7" s="624">
        <v>500001</v>
      </c>
      <c r="R7" s="623">
        <v>385</v>
      </c>
      <c r="S7" s="621">
        <f t="shared" ref="S7:S14" si="10">R7*10%</f>
        <v>38.5</v>
      </c>
      <c r="T7" s="621">
        <f t="shared" ref="T7:T14" si="11">R7-S7</f>
        <v>346.5</v>
      </c>
    </row>
    <row r="8" spans="2:25" x14ac:dyDescent="0.2">
      <c r="B8" s="624">
        <v>750001</v>
      </c>
      <c r="C8" s="623">
        <f>1550+155</f>
        <v>1705</v>
      </c>
      <c r="D8" s="621">
        <f t="shared" si="0"/>
        <v>155</v>
      </c>
      <c r="E8" s="621">
        <f t="shared" si="1"/>
        <v>1550</v>
      </c>
      <c r="F8" s="625"/>
      <c r="G8" s="624">
        <v>750001</v>
      </c>
      <c r="H8" s="623">
        <f t="shared" si="8"/>
        <v>1705</v>
      </c>
      <c r="I8" s="621">
        <f t="shared" si="2"/>
        <v>155</v>
      </c>
      <c r="J8" s="621">
        <f t="shared" si="3"/>
        <v>1550</v>
      </c>
      <c r="K8" s="625"/>
      <c r="L8" s="624">
        <v>750001</v>
      </c>
      <c r="M8" s="623">
        <f t="shared" si="9"/>
        <v>1705</v>
      </c>
      <c r="N8" s="621">
        <f t="shared" si="4"/>
        <v>155</v>
      </c>
      <c r="O8" s="621">
        <f t="shared" si="5"/>
        <v>1550</v>
      </c>
      <c r="Q8" s="624">
        <v>750001</v>
      </c>
      <c r="R8" s="623">
        <v>385</v>
      </c>
      <c r="S8" s="621">
        <f t="shared" si="10"/>
        <v>38.5</v>
      </c>
      <c r="T8" s="621">
        <f t="shared" si="11"/>
        <v>346.5</v>
      </c>
    </row>
    <row r="9" spans="2:25" x14ac:dyDescent="0.2">
      <c r="B9" s="624">
        <v>1000001</v>
      </c>
      <c r="C9" s="623">
        <f>1800+180</f>
        <v>1980</v>
      </c>
      <c r="D9" s="621">
        <f t="shared" si="0"/>
        <v>180</v>
      </c>
      <c r="E9" s="621">
        <f t="shared" si="1"/>
        <v>1800</v>
      </c>
      <c r="F9" s="625"/>
      <c r="G9" s="624">
        <v>1000001</v>
      </c>
      <c r="H9" s="623">
        <f t="shared" si="8"/>
        <v>1980</v>
      </c>
      <c r="I9" s="621">
        <f t="shared" si="2"/>
        <v>180</v>
      </c>
      <c r="J9" s="621">
        <f t="shared" si="3"/>
        <v>1800</v>
      </c>
      <c r="K9" s="625"/>
      <c r="L9" s="624">
        <v>1000001</v>
      </c>
      <c r="M9" s="623">
        <f t="shared" si="9"/>
        <v>1980</v>
      </c>
      <c r="N9" s="621">
        <f t="shared" si="4"/>
        <v>180</v>
      </c>
      <c r="O9" s="621">
        <f t="shared" si="5"/>
        <v>1800</v>
      </c>
      <c r="Q9" s="624">
        <v>1000001</v>
      </c>
      <c r="R9" s="623">
        <v>385</v>
      </c>
      <c r="S9" s="621">
        <f t="shared" si="10"/>
        <v>38.5</v>
      </c>
      <c r="T9" s="621">
        <f t="shared" si="11"/>
        <v>346.5</v>
      </c>
    </row>
    <row r="10" spans="2:25" x14ac:dyDescent="0.2">
      <c r="B10" s="624">
        <v>1500001</v>
      </c>
      <c r="C10" s="623">
        <f>2150+215</f>
        <v>2365</v>
      </c>
      <c r="D10" s="621">
        <f t="shared" si="0"/>
        <v>215</v>
      </c>
      <c r="E10" s="621">
        <f t="shared" si="1"/>
        <v>2150</v>
      </c>
      <c r="F10" s="625"/>
      <c r="G10" s="624">
        <v>1500001</v>
      </c>
      <c r="H10" s="623">
        <f t="shared" si="8"/>
        <v>2365</v>
      </c>
      <c r="I10" s="621">
        <f t="shared" si="2"/>
        <v>215</v>
      </c>
      <c r="J10" s="621">
        <f t="shared" si="3"/>
        <v>2150</v>
      </c>
      <c r="K10" s="625"/>
      <c r="L10" s="624">
        <v>1500001</v>
      </c>
      <c r="M10" s="623">
        <f t="shared" si="9"/>
        <v>2365</v>
      </c>
      <c r="N10" s="621">
        <f t="shared" si="4"/>
        <v>215</v>
      </c>
      <c r="O10" s="621">
        <f t="shared" si="5"/>
        <v>2150</v>
      </c>
      <c r="Q10" s="624">
        <v>1500001</v>
      </c>
      <c r="R10" s="623">
        <v>385</v>
      </c>
      <c r="S10" s="621">
        <f t="shared" si="10"/>
        <v>38.5</v>
      </c>
      <c r="T10" s="621">
        <f t="shared" si="11"/>
        <v>346.5</v>
      </c>
    </row>
    <row r="11" spans="2:25" x14ac:dyDescent="0.2">
      <c r="B11" s="624">
        <v>2000001</v>
      </c>
      <c r="C11" s="623">
        <f>2350+235</f>
        <v>2585</v>
      </c>
      <c r="D11" s="621">
        <f t="shared" si="0"/>
        <v>235</v>
      </c>
      <c r="E11" s="621">
        <f t="shared" si="1"/>
        <v>2350</v>
      </c>
      <c r="F11" s="626"/>
      <c r="G11" s="624">
        <v>2000001</v>
      </c>
      <c r="H11" s="623">
        <f t="shared" si="8"/>
        <v>2585</v>
      </c>
      <c r="I11" s="621">
        <f t="shared" si="2"/>
        <v>235</v>
      </c>
      <c r="J11" s="621">
        <f t="shared" si="3"/>
        <v>2350</v>
      </c>
      <c r="K11" s="626"/>
      <c r="L11" s="624">
        <v>2000001</v>
      </c>
      <c r="M11" s="623">
        <f t="shared" si="9"/>
        <v>2585</v>
      </c>
      <c r="N11" s="621">
        <f t="shared" si="4"/>
        <v>235</v>
      </c>
      <c r="O11" s="621">
        <f t="shared" si="5"/>
        <v>2350</v>
      </c>
      <c r="Q11" s="624">
        <v>2000001</v>
      </c>
      <c r="R11" s="623">
        <v>385</v>
      </c>
      <c r="S11" s="621">
        <f t="shared" si="10"/>
        <v>38.5</v>
      </c>
      <c r="T11" s="621">
        <f t="shared" si="11"/>
        <v>346.5</v>
      </c>
    </row>
    <row r="12" spans="2:25" x14ac:dyDescent="0.2">
      <c r="B12" s="624">
        <v>2500001</v>
      </c>
      <c r="C12" s="623">
        <f>2650+265</f>
        <v>2915</v>
      </c>
      <c r="D12" s="621">
        <f t="shared" si="0"/>
        <v>265</v>
      </c>
      <c r="E12" s="621">
        <f t="shared" si="1"/>
        <v>2650</v>
      </c>
      <c r="F12" s="626"/>
      <c r="G12" s="624">
        <v>2500001</v>
      </c>
      <c r="H12" s="623">
        <f t="shared" si="8"/>
        <v>2915</v>
      </c>
      <c r="I12" s="621">
        <f t="shared" si="2"/>
        <v>265</v>
      </c>
      <c r="J12" s="621">
        <f t="shared" si="3"/>
        <v>2650</v>
      </c>
      <c r="K12" s="626"/>
      <c r="L12" s="624">
        <v>2500001</v>
      </c>
      <c r="M12" s="623">
        <f t="shared" si="9"/>
        <v>2915</v>
      </c>
      <c r="N12" s="621">
        <f t="shared" si="4"/>
        <v>265</v>
      </c>
      <c r="O12" s="621">
        <f t="shared" si="5"/>
        <v>2650</v>
      </c>
      <c r="Q12" s="624">
        <v>2500001</v>
      </c>
      <c r="R12" s="623">
        <v>385</v>
      </c>
      <c r="S12" s="621">
        <f t="shared" si="10"/>
        <v>38.5</v>
      </c>
      <c r="T12" s="621">
        <f t="shared" si="11"/>
        <v>346.5</v>
      </c>
    </row>
    <row r="13" spans="2:25" x14ac:dyDescent="0.2">
      <c r="B13" s="624">
        <v>3000001</v>
      </c>
      <c r="C13" s="623">
        <f>3050+305</f>
        <v>3355</v>
      </c>
      <c r="D13" s="621">
        <f t="shared" si="0"/>
        <v>305</v>
      </c>
      <c r="E13" s="621">
        <f t="shared" si="1"/>
        <v>3050</v>
      </c>
      <c r="F13" s="626"/>
      <c r="G13" s="624">
        <v>3000001</v>
      </c>
      <c r="H13" s="623">
        <f t="shared" si="8"/>
        <v>3355</v>
      </c>
      <c r="I13" s="621">
        <f t="shared" si="2"/>
        <v>305</v>
      </c>
      <c r="J13" s="621">
        <f t="shared" si="3"/>
        <v>3050</v>
      </c>
      <c r="K13" s="626"/>
      <c r="L13" s="624">
        <v>3000001</v>
      </c>
      <c r="M13" s="623">
        <f t="shared" si="9"/>
        <v>3355</v>
      </c>
      <c r="N13" s="621">
        <f t="shared" si="4"/>
        <v>305</v>
      </c>
      <c r="O13" s="621">
        <f t="shared" si="5"/>
        <v>3050</v>
      </c>
      <c r="Q13" s="624">
        <v>3000001</v>
      </c>
      <c r="R13" s="623">
        <v>385</v>
      </c>
      <c r="S13" s="621">
        <f t="shared" si="10"/>
        <v>38.5</v>
      </c>
      <c r="T13" s="621">
        <f t="shared" si="11"/>
        <v>346.5</v>
      </c>
    </row>
    <row r="14" spans="2:25" x14ac:dyDescent="0.2">
      <c r="B14" s="624">
        <v>4000001</v>
      </c>
      <c r="C14" s="627">
        <f>C13</f>
        <v>3355</v>
      </c>
      <c r="D14" s="628">
        <f t="shared" si="0"/>
        <v>305</v>
      </c>
      <c r="E14" s="628">
        <f t="shared" si="1"/>
        <v>3050</v>
      </c>
      <c r="F14" s="626"/>
      <c r="G14" s="624">
        <v>4000001</v>
      </c>
      <c r="H14" s="623">
        <f t="shared" si="8"/>
        <v>3355</v>
      </c>
      <c r="I14" s="621">
        <f t="shared" si="2"/>
        <v>305</v>
      </c>
      <c r="J14" s="621">
        <f t="shared" si="3"/>
        <v>3050</v>
      </c>
      <c r="K14" s="626"/>
      <c r="L14" s="624">
        <v>4000001</v>
      </c>
      <c r="M14" s="623">
        <f t="shared" si="9"/>
        <v>3355</v>
      </c>
      <c r="N14" s="621">
        <f t="shared" si="4"/>
        <v>305</v>
      </c>
      <c r="O14" s="621">
        <f t="shared" si="5"/>
        <v>3050</v>
      </c>
      <c r="Q14" s="624">
        <v>4000001</v>
      </c>
      <c r="R14" s="623">
        <v>385</v>
      </c>
      <c r="S14" s="621">
        <f t="shared" si="10"/>
        <v>38.5</v>
      </c>
      <c r="T14" s="621">
        <f t="shared" si="11"/>
        <v>346.5</v>
      </c>
    </row>
    <row r="15" spans="2:25" ht="13.5" thickBot="1" x14ac:dyDescent="0.25">
      <c r="B15" s="629">
        <v>5000001</v>
      </c>
      <c r="C15" s="630">
        <f>C14</f>
        <v>3355</v>
      </c>
      <c r="D15" s="631">
        <f>C15/11</f>
        <v>305</v>
      </c>
      <c r="E15" s="631">
        <f>C15-D15</f>
        <v>3050</v>
      </c>
      <c r="F15" s="626"/>
      <c r="G15" s="629">
        <v>5000001</v>
      </c>
      <c r="H15" s="632">
        <f>'Property Purchase Calculator'!F10*0.000795</f>
        <v>0</v>
      </c>
      <c r="I15" s="633">
        <f>H15/11</f>
        <v>0</v>
      </c>
      <c r="J15" s="634">
        <f>H15-I15</f>
        <v>0</v>
      </c>
      <c r="K15" s="626"/>
      <c r="L15" s="629">
        <v>5000001</v>
      </c>
      <c r="M15" s="632">
        <f>'Fee Calculator'!E10*0.000795</f>
        <v>0</v>
      </c>
      <c r="N15" s="633">
        <f>M15/11</f>
        <v>0</v>
      </c>
      <c r="O15" s="634">
        <f>M15-N15</f>
        <v>0</v>
      </c>
      <c r="Q15" s="629">
        <v>5000001</v>
      </c>
      <c r="R15" s="632">
        <f>'Fee Calculator'!E10*0.000795+'Property Purchase Calculator'!F10*0.000795</f>
        <v>0</v>
      </c>
      <c r="S15" s="633">
        <f>R15/11</f>
        <v>0</v>
      </c>
      <c r="T15" s="634">
        <f>R15-S15</f>
        <v>0</v>
      </c>
    </row>
    <row r="16" spans="2:25" x14ac:dyDescent="0.2">
      <c r="C16" s="442"/>
      <c r="D16" s="635"/>
      <c r="E16" s="442"/>
      <c r="H16" s="442"/>
      <c r="I16" s="635"/>
      <c r="J16" s="442"/>
      <c r="M16" s="442"/>
      <c r="N16" s="635"/>
      <c r="O16" s="442"/>
      <c r="R16" s="442"/>
      <c r="S16" s="635"/>
      <c r="T16" s="442"/>
      <c r="X16" s="185" t="s">
        <v>341</v>
      </c>
      <c r="Y16" s="185" t="s">
        <v>334</v>
      </c>
    </row>
    <row r="17" spans="2:26" ht="13.5" thickBot="1" x14ac:dyDescent="0.25">
      <c r="B17" s="308" t="s">
        <v>342</v>
      </c>
      <c r="C17" s="636" t="s">
        <v>101</v>
      </c>
      <c r="D17" s="637">
        <f>'Fee Calculator'!C7</f>
        <v>0</v>
      </c>
      <c r="E17" s="638">
        <f>'Fee Calculator'!E6</f>
        <v>0</v>
      </c>
      <c r="G17" s="308" t="s">
        <v>342</v>
      </c>
      <c r="H17" s="636" t="s">
        <v>101</v>
      </c>
      <c r="I17" s="637" t="str">
        <f>'Property Purchase Calculator'!D7</f>
        <v>No</v>
      </c>
      <c r="J17" s="638">
        <f>'Property Purchase Calculator'!F6</f>
        <v>0</v>
      </c>
      <c r="L17" s="308" t="s">
        <v>342</v>
      </c>
      <c r="M17" s="636" t="s">
        <v>101</v>
      </c>
      <c r="N17" s="637">
        <f>'Fee Calculator'!C7</f>
        <v>0</v>
      </c>
      <c r="O17" s="638">
        <f>'Fee Calculator'!E6</f>
        <v>0</v>
      </c>
      <c r="Q17" s="308" t="s">
        <v>342</v>
      </c>
      <c r="R17" s="636" t="s">
        <v>101</v>
      </c>
      <c r="S17" s="637">
        <f>'Fee Calculator'!C7</f>
        <v>0</v>
      </c>
      <c r="T17" s="638">
        <f>'Fee Calculator'!E6</f>
        <v>0</v>
      </c>
      <c r="V17" s="393"/>
      <c r="W17" s="639" t="s">
        <v>343</v>
      </c>
      <c r="X17" s="639" t="s">
        <v>101</v>
      </c>
      <c r="Y17" s="639" t="s">
        <v>101</v>
      </c>
      <c r="Z17" s="393"/>
    </row>
    <row r="18" spans="2:26" ht="13.5" thickBot="1" x14ac:dyDescent="0.25">
      <c r="B18" s="614" t="s">
        <v>318</v>
      </c>
      <c r="C18" s="640" t="s">
        <v>339</v>
      </c>
      <c r="D18" s="641" t="s">
        <v>203</v>
      </c>
      <c r="E18" s="642" t="s">
        <v>340</v>
      </c>
      <c r="G18" s="614" t="s">
        <v>318</v>
      </c>
      <c r="H18" s="640" t="s">
        <v>339</v>
      </c>
      <c r="I18" s="641" t="s">
        <v>203</v>
      </c>
      <c r="J18" s="642" t="s">
        <v>340</v>
      </c>
      <c r="L18" s="614" t="s">
        <v>318</v>
      </c>
      <c r="M18" s="640" t="s">
        <v>339</v>
      </c>
      <c r="N18" s="641" t="s">
        <v>203</v>
      </c>
      <c r="O18" s="642" t="s">
        <v>340</v>
      </c>
      <c r="Q18" s="614" t="s">
        <v>318</v>
      </c>
      <c r="R18" s="640" t="s">
        <v>339</v>
      </c>
      <c r="S18" s="641" t="s">
        <v>203</v>
      </c>
      <c r="T18" s="642" t="s">
        <v>340</v>
      </c>
      <c r="V18" s="393"/>
      <c r="W18" s="639" t="s">
        <v>344</v>
      </c>
      <c r="X18" s="639" t="s">
        <v>344</v>
      </c>
      <c r="Y18" s="639" t="s">
        <v>344</v>
      </c>
      <c r="Z18" s="393"/>
    </row>
    <row r="19" spans="2:26" x14ac:dyDescent="0.2">
      <c r="B19" s="643">
        <v>0</v>
      </c>
      <c r="C19" s="619">
        <f>D19+E19</f>
        <v>0</v>
      </c>
      <c r="D19" s="620">
        <f>E19*0.1</f>
        <v>0</v>
      </c>
      <c r="E19" s="619">
        <v>0</v>
      </c>
      <c r="G19" s="643">
        <v>0</v>
      </c>
      <c r="H19" s="619">
        <f>I19+J19</f>
        <v>0</v>
      </c>
      <c r="I19" s="620">
        <f>J19*0.1</f>
        <v>0</v>
      </c>
      <c r="J19" s="619">
        <f>E19</f>
        <v>0</v>
      </c>
      <c r="L19" s="643">
        <v>0</v>
      </c>
      <c r="M19" s="619">
        <f>N19+O19</f>
        <v>0</v>
      </c>
      <c r="N19" s="620">
        <f>O19*0.1</f>
        <v>0</v>
      </c>
      <c r="O19" s="619">
        <f>J19</f>
        <v>0</v>
      </c>
      <c r="Q19" s="643">
        <v>0</v>
      </c>
      <c r="R19" s="619">
        <f>S19+T19</f>
        <v>0</v>
      </c>
      <c r="S19" s="620">
        <f>T19*0.1</f>
        <v>0</v>
      </c>
      <c r="T19" s="619">
        <f>O19</f>
        <v>0</v>
      </c>
      <c r="V19" s="393"/>
      <c r="W19" s="644">
        <f>M19</f>
        <v>0</v>
      </c>
      <c r="X19" s="645">
        <v>0</v>
      </c>
      <c r="Y19" s="645">
        <v>0</v>
      </c>
      <c r="Z19" s="393"/>
    </row>
    <row r="20" spans="2:26" x14ac:dyDescent="0.2">
      <c r="B20" s="624">
        <v>0</v>
      </c>
      <c r="C20" s="623">
        <f t="shared" ref="C20:C23" si="12">D20+E20</f>
        <v>1155</v>
      </c>
      <c r="D20" s="621">
        <f t="shared" ref="D20:D23" si="13">E20*0.1</f>
        <v>105</v>
      </c>
      <c r="E20" s="623">
        <f>IF(D$17="Yes",$X20,$W20)</f>
        <v>1050</v>
      </c>
      <c r="G20" s="624">
        <v>0</v>
      </c>
      <c r="H20" s="623">
        <f t="shared" ref="H20:H23" si="14">I20+J20</f>
        <v>1155</v>
      </c>
      <c r="I20" s="621">
        <f t="shared" ref="I20:I23" si="15">J20*0.1</f>
        <v>105</v>
      </c>
      <c r="J20" s="623">
        <f>IF(I$17="Yes",$X20,$W20)</f>
        <v>1050</v>
      </c>
      <c r="L20" s="624">
        <v>0</v>
      </c>
      <c r="M20" s="623">
        <f t="shared" ref="M20:M23" si="16">N20+O20</f>
        <v>1155</v>
      </c>
      <c r="N20" s="621">
        <f t="shared" ref="N20:N23" si="17">O20*0.1</f>
        <v>105</v>
      </c>
      <c r="O20" s="623">
        <f>IF(N$17="Yes",$X20,$W20)</f>
        <v>1050</v>
      </c>
      <c r="Q20" s="624">
        <v>0</v>
      </c>
      <c r="R20" s="623">
        <f t="shared" ref="R20" si="18">S20+T20</f>
        <v>1155</v>
      </c>
      <c r="S20" s="621">
        <f t="shared" ref="S20:S23" si="19">T20*0.1</f>
        <v>105</v>
      </c>
      <c r="T20" s="623">
        <f>IF(S$17="Yes",$Y20,$W20)</f>
        <v>1050</v>
      </c>
      <c r="V20" s="393"/>
      <c r="W20" s="644">
        <v>1050</v>
      </c>
      <c r="X20" s="645">
        <f>E26</f>
        <v>2000</v>
      </c>
      <c r="Y20" s="645">
        <v>1600</v>
      </c>
      <c r="Z20" s="393"/>
    </row>
    <row r="21" spans="2:26" x14ac:dyDescent="0.2">
      <c r="B21" s="624">
        <v>750001</v>
      </c>
      <c r="C21" s="623">
        <f t="shared" si="12"/>
        <v>1518</v>
      </c>
      <c r="D21" s="621">
        <f t="shared" si="13"/>
        <v>138</v>
      </c>
      <c r="E21" s="623">
        <f t="shared" ref="E21:E23" si="20">IF(D$17="Yes",$X21,$W21)</f>
        <v>1380</v>
      </c>
      <c r="G21" s="624">
        <v>750001</v>
      </c>
      <c r="H21" s="623">
        <f t="shared" si="14"/>
        <v>1518</v>
      </c>
      <c r="I21" s="621">
        <f t="shared" si="15"/>
        <v>138</v>
      </c>
      <c r="J21" s="623">
        <f t="shared" ref="J21:J23" si="21">IF(I$17="Yes",$X21,$W21)</f>
        <v>1380</v>
      </c>
      <c r="L21" s="624">
        <v>750001</v>
      </c>
      <c r="M21" s="623">
        <f>N21+O21</f>
        <v>1518</v>
      </c>
      <c r="N21" s="621">
        <f t="shared" si="17"/>
        <v>138</v>
      </c>
      <c r="O21" s="623">
        <f t="shared" ref="O21:O23" si="22">IF(N$17="Yes",$X21,$W21)</f>
        <v>1380</v>
      </c>
      <c r="Q21" s="624">
        <v>750001</v>
      </c>
      <c r="R21" s="623">
        <f>S21+T21</f>
        <v>1518</v>
      </c>
      <c r="S21" s="621">
        <f t="shared" si="19"/>
        <v>138</v>
      </c>
      <c r="T21" s="623">
        <f t="shared" ref="T21:T24" si="23">IF(S$17="Yes",$Y21,$W21)</f>
        <v>1380</v>
      </c>
      <c r="V21" s="393"/>
      <c r="W21" s="644">
        <v>1380</v>
      </c>
      <c r="X21" s="645">
        <f t="shared" ref="X21:Y24" si="24">X20</f>
        <v>2000</v>
      </c>
      <c r="Y21" s="645">
        <f t="shared" si="24"/>
        <v>1600</v>
      </c>
      <c r="Z21" s="393"/>
    </row>
    <row r="22" spans="2:26" x14ac:dyDescent="0.2">
      <c r="B22" s="624">
        <v>1000001</v>
      </c>
      <c r="C22" s="623">
        <f t="shared" si="12"/>
        <v>1980</v>
      </c>
      <c r="D22" s="621">
        <f t="shared" si="13"/>
        <v>180</v>
      </c>
      <c r="E22" s="623">
        <f t="shared" si="20"/>
        <v>1800</v>
      </c>
      <c r="G22" s="624">
        <v>1000001</v>
      </c>
      <c r="H22" s="623">
        <f t="shared" si="14"/>
        <v>1980</v>
      </c>
      <c r="I22" s="621">
        <f t="shared" si="15"/>
        <v>180</v>
      </c>
      <c r="J22" s="623">
        <f t="shared" si="21"/>
        <v>1800</v>
      </c>
      <c r="L22" s="624">
        <v>1000001</v>
      </c>
      <c r="M22" s="623">
        <f t="shared" si="16"/>
        <v>1980</v>
      </c>
      <c r="N22" s="621">
        <f t="shared" si="17"/>
        <v>180</v>
      </c>
      <c r="O22" s="623">
        <f t="shared" si="22"/>
        <v>1800</v>
      </c>
      <c r="Q22" s="624">
        <v>1000001</v>
      </c>
      <c r="R22" s="623">
        <f t="shared" ref="R22:R23" si="25">S22+T22</f>
        <v>1980</v>
      </c>
      <c r="S22" s="621">
        <f t="shared" si="19"/>
        <v>180</v>
      </c>
      <c r="T22" s="623">
        <f t="shared" si="23"/>
        <v>1800</v>
      </c>
      <c r="V22" s="393"/>
      <c r="W22" s="644">
        <v>1800</v>
      </c>
      <c r="X22" s="645">
        <f t="shared" si="24"/>
        <v>2000</v>
      </c>
      <c r="Y22" s="645">
        <f t="shared" si="24"/>
        <v>1600</v>
      </c>
      <c r="Z22" s="393"/>
    </row>
    <row r="23" spans="2:26" x14ac:dyDescent="0.2">
      <c r="B23" s="624">
        <v>1500001</v>
      </c>
      <c r="C23" s="623">
        <f t="shared" si="12"/>
        <v>2475</v>
      </c>
      <c r="D23" s="621">
        <f t="shared" si="13"/>
        <v>225</v>
      </c>
      <c r="E23" s="623">
        <f t="shared" si="20"/>
        <v>2250</v>
      </c>
      <c r="G23" s="624">
        <v>1500001</v>
      </c>
      <c r="H23" s="623">
        <f t="shared" si="14"/>
        <v>2475</v>
      </c>
      <c r="I23" s="621">
        <f t="shared" si="15"/>
        <v>225</v>
      </c>
      <c r="J23" s="623">
        <f t="shared" si="21"/>
        <v>2250</v>
      </c>
      <c r="L23" s="624">
        <v>1500001</v>
      </c>
      <c r="M23" s="623">
        <f t="shared" si="16"/>
        <v>2475</v>
      </c>
      <c r="N23" s="621">
        <f t="shared" si="17"/>
        <v>225</v>
      </c>
      <c r="O23" s="623">
        <f t="shared" si="22"/>
        <v>2250</v>
      </c>
      <c r="Q23" s="624">
        <v>1500001</v>
      </c>
      <c r="R23" s="623">
        <f t="shared" si="25"/>
        <v>2475</v>
      </c>
      <c r="S23" s="621">
        <f t="shared" si="19"/>
        <v>225</v>
      </c>
      <c r="T23" s="623">
        <f t="shared" si="23"/>
        <v>2250</v>
      </c>
      <c r="V23" s="393"/>
      <c r="W23" s="644">
        <v>2250</v>
      </c>
      <c r="X23" s="645">
        <f t="shared" si="24"/>
        <v>2000</v>
      </c>
      <c r="Y23" s="645">
        <f t="shared" si="24"/>
        <v>1600</v>
      </c>
      <c r="Z23" s="393"/>
    </row>
    <row r="24" spans="2:26" ht="12.75" customHeight="1" thickBot="1" x14ac:dyDescent="0.25">
      <c r="B24" s="629">
        <v>2000000</v>
      </c>
      <c r="C24" s="632">
        <f>D24+E24</f>
        <v>1375</v>
      </c>
      <c r="D24" s="633">
        <f>E24*0.1</f>
        <v>125</v>
      </c>
      <c r="E24" s="632">
        <f>IF(D17="Yes",E23+(E17-1500000)*$X26,E23+(E17-B24)*$W26)</f>
        <v>1250</v>
      </c>
      <c r="G24" s="629">
        <v>2000000</v>
      </c>
      <c r="H24" s="632">
        <f>I24+J24</f>
        <v>1375</v>
      </c>
      <c r="I24" s="633">
        <f>J24*0.1</f>
        <v>125</v>
      </c>
      <c r="J24" s="632">
        <f>IF(I17="Yes",J23+(J17-1500000)*$X26,J23+(J17-G24)*$W26)</f>
        <v>1250</v>
      </c>
      <c r="L24" s="629">
        <v>2000000</v>
      </c>
      <c r="M24" s="632">
        <f>N24+O24</f>
        <v>1375</v>
      </c>
      <c r="N24" s="633">
        <f>O24*0.1</f>
        <v>125</v>
      </c>
      <c r="O24" s="632">
        <f>IF(N17="Yes",O23+(O17-1500000)*$X26,O23+(O17-L24)*$W26)</f>
        <v>1250</v>
      </c>
      <c r="Q24" s="629">
        <v>2000000</v>
      </c>
      <c r="R24" s="632">
        <f>S24+T24</f>
        <v>2475</v>
      </c>
      <c r="S24" s="633">
        <f>T24*0.1</f>
        <v>225</v>
      </c>
      <c r="T24" s="623">
        <f t="shared" si="23"/>
        <v>2250</v>
      </c>
      <c r="V24" s="393"/>
      <c r="W24" s="644">
        <f>W23</f>
        <v>2250</v>
      </c>
      <c r="X24" s="645">
        <f t="shared" si="24"/>
        <v>2000</v>
      </c>
      <c r="Y24" s="645">
        <f t="shared" si="24"/>
        <v>1600</v>
      </c>
      <c r="Z24" s="393"/>
    </row>
    <row r="25" spans="2:26" ht="13.5" thickBot="1" x14ac:dyDescent="0.25">
      <c r="B25" s="614" t="s">
        <v>345</v>
      </c>
      <c r="C25" s="646">
        <f>D25+E25</f>
        <v>0</v>
      </c>
      <c r="D25" s="647">
        <v>0</v>
      </c>
      <c r="E25" s="648">
        <v>0</v>
      </c>
      <c r="G25" s="614" t="s">
        <v>345</v>
      </c>
      <c r="H25" s="646">
        <f>I25+J25</f>
        <v>0</v>
      </c>
      <c r="I25" s="647">
        <f>D25</f>
        <v>0</v>
      </c>
      <c r="J25" s="648">
        <f>E25</f>
        <v>0</v>
      </c>
      <c r="L25" s="614" t="s">
        <v>345</v>
      </c>
      <c r="M25" s="646">
        <f>N25+O25</f>
        <v>0</v>
      </c>
      <c r="N25" s="647">
        <f>D25</f>
        <v>0</v>
      </c>
      <c r="O25" s="648">
        <f>J25</f>
        <v>0</v>
      </c>
      <c r="Q25" s="614" t="s">
        <v>345</v>
      </c>
      <c r="R25" s="646">
        <f>S25+T25</f>
        <v>0</v>
      </c>
      <c r="S25" s="647">
        <f>I25</f>
        <v>0</v>
      </c>
      <c r="T25" s="648">
        <f>O25</f>
        <v>0</v>
      </c>
      <c r="V25" s="393"/>
      <c r="W25" s="645"/>
      <c r="X25" s="645"/>
      <c r="Y25" s="645"/>
      <c r="Z25" s="393"/>
    </row>
    <row r="26" spans="2:26" x14ac:dyDescent="0.2">
      <c r="C26" s="442"/>
      <c r="D26" s="635"/>
      <c r="E26" s="649">
        <v>2000</v>
      </c>
      <c r="H26" s="442"/>
      <c r="I26" s="635"/>
      <c r="J26" s="649">
        <f>E26</f>
        <v>2000</v>
      </c>
      <c r="M26" s="442"/>
      <c r="N26" s="635"/>
      <c r="O26" s="649">
        <f>E26</f>
        <v>2000</v>
      </c>
      <c r="R26" s="442"/>
      <c r="S26" s="635"/>
      <c r="T26" s="649">
        <f>J26</f>
        <v>2000</v>
      </c>
      <c r="V26" s="393"/>
      <c r="W26" s="650">
        <v>5.0000000000000001E-4</v>
      </c>
      <c r="X26" s="650">
        <v>5.0000000000000001E-4</v>
      </c>
      <c r="Y26" s="650">
        <v>5.0000000000000001E-4</v>
      </c>
      <c r="Z26" s="393"/>
    </row>
    <row r="27" spans="2:26" ht="13.5" thickBot="1" x14ac:dyDescent="0.25">
      <c r="B27" s="308" t="s">
        <v>346</v>
      </c>
      <c r="C27" s="442"/>
      <c r="D27" s="635"/>
      <c r="E27" s="442"/>
      <c r="G27" s="308" t="s">
        <v>346</v>
      </c>
      <c r="H27" s="442"/>
      <c r="I27" s="635"/>
      <c r="J27" s="442"/>
      <c r="L27" s="308" t="s">
        <v>346</v>
      </c>
      <c r="M27" s="442"/>
      <c r="N27" s="635"/>
      <c r="O27" s="442"/>
      <c r="Q27" s="308" t="s">
        <v>346</v>
      </c>
      <c r="R27" s="442"/>
      <c r="S27" s="635"/>
      <c r="T27" s="442"/>
      <c r="V27" s="393"/>
      <c r="W27" s="393"/>
      <c r="X27" s="393"/>
      <c r="Y27" s="393"/>
      <c r="Z27" s="393"/>
    </row>
    <row r="28" spans="2:26" ht="13.5" thickBot="1" x14ac:dyDescent="0.25">
      <c r="B28" s="614" t="s">
        <v>318</v>
      </c>
      <c r="C28" s="640" t="s">
        <v>339</v>
      </c>
      <c r="D28" s="641" t="s">
        <v>203</v>
      </c>
      <c r="E28" s="642" t="s">
        <v>340</v>
      </c>
      <c r="F28" s="651"/>
      <c r="G28" s="614" t="s">
        <v>318</v>
      </c>
      <c r="H28" s="640" t="s">
        <v>339</v>
      </c>
      <c r="I28" s="641" t="s">
        <v>203</v>
      </c>
      <c r="J28" s="642" t="s">
        <v>340</v>
      </c>
      <c r="K28" s="651"/>
      <c r="L28" s="614" t="s">
        <v>318</v>
      </c>
      <c r="M28" s="640" t="s">
        <v>339</v>
      </c>
      <c r="N28" s="641" t="s">
        <v>203</v>
      </c>
      <c r="O28" s="642" t="s">
        <v>340</v>
      </c>
      <c r="Q28" s="614" t="s">
        <v>318</v>
      </c>
      <c r="R28" s="640" t="s">
        <v>339</v>
      </c>
      <c r="S28" s="641" t="s">
        <v>203</v>
      </c>
      <c r="T28" s="642" t="s">
        <v>340</v>
      </c>
      <c r="V28" s="393"/>
      <c r="W28" s="393"/>
      <c r="X28" s="393"/>
      <c r="Y28" s="393"/>
      <c r="Z28" s="393"/>
    </row>
    <row r="29" spans="2:26" x14ac:dyDescent="0.2">
      <c r="B29" s="643">
        <v>0</v>
      </c>
      <c r="C29" s="619">
        <f>D29+E29</f>
        <v>363</v>
      </c>
      <c r="D29" s="620">
        <f>E29*0.1</f>
        <v>33</v>
      </c>
      <c r="E29" s="619">
        <v>330</v>
      </c>
      <c r="F29" s="652"/>
      <c r="G29" s="643">
        <v>0</v>
      </c>
      <c r="H29" s="619">
        <f>C29</f>
        <v>363</v>
      </c>
      <c r="I29" s="620">
        <f>H29/11</f>
        <v>33</v>
      </c>
      <c r="J29" s="619">
        <f>H29-I29</f>
        <v>330</v>
      </c>
      <c r="K29" s="652"/>
      <c r="L29" s="643">
        <v>0</v>
      </c>
      <c r="M29" s="619">
        <f t="shared" ref="M29:M35" si="26">H29</f>
        <v>363</v>
      </c>
      <c r="N29" s="620">
        <f>M29/11</f>
        <v>33</v>
      </c>
      <c r="O29" s="619">
        <f>M29-N29</f>
        <v>330</v>
      </c>
      <c r="Q29" s="643">
        <v>0</v>
      </c>
      <c r="R29" s="619">
        <f t="shared" ref="R29:R35" si="27">M29</f>
        <v>363</v>
      </c>
      <c r="S29" s="620">
        <f>R29/11</f>
        <v>33</v>
      </c>
      <c r="T29" s="619">
        <f>R29-S29</f>
        <v>330</v>
      </c>
      <c r="V29" s="393"/>
      <c r="W29" s="393"/>
      <c r="X29" s="393"/>
      <c r="Y29" s="393"/>
      <c r="Z29" s="393"/>
    </row>
    <row r="30" spans="2:26" x14ac:dyDescent="0.2">
      <c r="B30" s="624">
        <v>500001</v>
      </c>
      <c r="C30" s="623">
        <f t="shared" ref="C30:C35" si="28">D30+E30</f>
        <v>495</v>
      </c>
      <c r="D30" s="621">
        <f t="shared" ref="D30:D35" si="29">E30*0.1</f>
        <v>45</v>
      </c>
      <c r="E30" s="623">
        <v>450</v>
      </c>
      <c r="F30" s="652"/>
      <c r="G30" s="624">
        <v>500001</v>
      </c>
      <c r="H30" s="623">
        <f t="shared" ref="H30:H35" si="30">C30</f>
        <v>495</v>
      </c>
      <c r="I30" s="621">
        <f t="shared" ref="I30:I36" si="31">H30/11</f>
        <v>45</v>
      </c>
      <c r="J30" s="623">
        <f t="shared" ref="J30:J36" si="32">H30-I30</f>
        <v>450</v>
      </c>
      <c r="K30" s="652"/>
      <c r="L30" s="624">
        <v>500001</v>
      </c>
      <c r="M30" s="623">
        <f t="shared" si="26"/>
        <v>495</v>
      </c>
      <c r="N30" s="621">
        <f t="shared" ref="N30:N36" si="33">M30/11</f>
        <v>45</v>
      </c>
      <c r="O30" s="623">
        <f t="shared" ref="O30:O36" si="34">M30-N30</f>
        <v>450</v>
      </c>
      <c r="Q30" s="624">
        <v>500001</v>
      </c>
      <c r="R30" s="623">
        <f t="shared" si="27"/>
        <v>495</v>
      </c>
      <c r="S30" s="621">
        <f t="shared" ref="S30:S36" si="35">R30/11</f>
        <v>45</v>
      </c>
      <c r="T30" s="623">
        <f t="shared" ref="T30:T36" si="36">R30-S30</f>
        <v>450</v>
      </c>
      <c r="V30" s="393"/>
      <c r="W30" s="393"/>
      <c r="X30" s="393"/>
      <c r="Y30" s="393"/>
      <c r="Z30" s="393"/>
    </row>
    <row r="31" spans="2:26" x14ac:dyDescent="0.2">
      <c r="B31" s="624">
        <v>750001</v>
      </c>
      <c r="C31" s="623">
        <f t="shared" si="28"/>
        <v>660</v>
      </c>
      <c r="D31" s="621">
        <f t="shared" si="29"/>
        <v>60</v>
      </c>
      <c r="E31" s="623">
        <v>600</v>
      </c>
      <c r="F31" s="652"/>
      <c r="G31" s="624">
        <v>750001</v>
      </c>
      <c r="H31" s="623">
        <f t="shared" si="30"/>
        <v>660</v>
      </c>
      <c r="I31" s="621">
        <f t="shared" si="31"/>
        <v>60</v>
      </c>
      <c r="J31" s="623">
        <f t="shared" si="32"/>
        <v>600</v>
      </c>
      <c r="K31" s="652"/>
      <c r="L31" s="624">
        <v>750001</v>
      </c>
      <c r="M31" s="623">
        <f t="shared" si="26"/>
        <v>660</v>
      </c>
      <c r="N31" s="621">
        <f t="shared" si="33"/>
        <v>60</v>
      </c>
      <c r="O31" s="623">
        <f t="shared" si="34"/>
        <v>600</v>
      </c>
      <c r="Q31" s="624">
        <v>750001</v>
      </c>
      <c r="R31" s="623">
        <f t="shared" si="27"/>
        <v>660</v>
      </c>
      <c r="S31" s="621">
        <f t="shared" si="35"/>
        <v>60</v>
      </c>
      <c r="T31" s="623">
        <f t="shared" si="36"/>
        <v>600</v>
      </c>
      <c r="V31" s="393"/>
      <c r="W31" s="393"/>
      <c r="X31" s="393"/>
      <c r="Y31" s="393"/>
      <c r="Z31" s="393"/>
    </row>
    <row r="32" spans="2:26" x14ac:dyDescent="0.2">
      <c r="B32" s="624">
        <v>1000001</v>
      </c>
      <c r="C32" s="623">
        <f t="shared" si="28"/>
        <v>825</v>
      </c>
      <c r="D32" s="621">
        <f t="shared" si="29"/>
        <v>75</v>
      </c>
      <c r="E32" s="623">
        <v>750</v>
      </c>
      <c r="F32" s="393"/>
      <c r="G32" s="624">
        <v>1000001</v>
      </c>
      <c r="H32" s="623">
        <f t="shared" si="30"/>
        <v>825</v>
      </c>
      <c r="I32" s="621">
        <f t="shared" si="31"/>
        <v>75</v>
      </c>
      <c r="J32" s="623">
        <f t="shared" si="32"/>
        <v>750</v>
      </c>
      <c r="K32" s="393"/>
      <c r="L32" s="624">
        <v>1000001</v>
      </c>
      <c r="M32" s="623">
        <f t="shared" si="26"/>
        <v>825</v>
      </c>
      <c r="N32" s="621">
        <f t="shared" si="33"/>
        <v>75</v>
      </c>
      <c r="O32" s="623">
        <f t="shared" si="34"/>
        <v>750</v>
      </c>
      <c r="Q32" s="624">
        <v>1000001</v>
      </c>
      <c r="R32" s="623">
        <f t="shared" si="27"/>
        <v>825</v>
      </c>
      <c r="S32" s="621">
        <f t="shared" si="35"/>
        <v>75</v>
      </c>
      <c r="T32" s="623">
        <f t="shared" si="36"/>
        <v>750</v>
      </c>
      <c r="V32" s="393"/>
      <c r="W32" s="393"/>
      <c r="X32" s="393"/>
      <c r="Y32" s="393"/>
      <c r="Z32" s="393"/>
    </row>
    <row r="33" spans="2:26" x14ac:dyDescent="0.2">
      <c r="B33" s="624">
        <v>1250001</v>
      </c>
      <c r="C33" s="623">
        <f t="shared" si="28"/>
        <v>990</v>
      </c>
      <c r="D33" s="621">
        <f t="shared" si="29"/>
        <v>90</v>
      </c>
      <c r="E33" s="623">
        <v>900</v>
      </c>
      <c r="F33" s="393"/>
      <c r="G33" s="624">
        <v>1250001</v>
      </c>
      <c r="H33" s="623">
        <f t="shared" si="30"/>
        <v>990</v>
      </c>
      <c r="I33" s="621">
        <f t="shared" si="31"/>
        <v>90</v>
      </c>
      <c r="J33" s="623">
        <f t="shared" si="32"/>
        <v>900</v>
      </c>
      <c r="K33" s="393"/>
      <c r="L33" s="624">
        <v>1250001</v>
      </c>
      <c r="M33" s="623">
        <f t="shared" si="26"/>
        <v>990</v>
      </c>
      <c r="N33" s="621">
        <f t="shared" si="33"/>
        <v>90</v>
      </c>
      <c r="O33" s="623">
        <f t="shared" si="34"/>
        <v>900</v>
      </c>
      <c r="Q33" s="624">
        <v>1250001</v>
      </c>
      <c r="R33" s="623">
        <f t="shared" si="27"/>
        <v>990</v>
      </c>
      <c r="S33" s="621">
        <f t="shared" si="35"/>
        <v>90</v>
      </c>
      <c r="T33" s="623">
        <f t="shared" si="36"/>
        <v>900</v>
      </c>
      <c r="V33" s="393"/>
      <c r="W33" s="393"/>
      <c r="X33" s="393"/>
      <c r="Y33" s="393"/>
      <c r="Z33" s="393"/>
    </row>
    <row r="34" spans="2:26" x14ac:dyDescent="0.2">
      <c r="B34" s="624">
        <v>1500001</v>
      </c>
      <c r="C34" s="623">
        <f t="shared" si="28"/>
        <v>1155</v>
      </c>
      <c r="D34" s="621">
        <f t="shared" si="29"/>
        <v>105</v>
      </c>
      <c r="E34" s="623">
        <v>1050</v>
      </c>
      <c r="F34" s="393"/>
      <c r="G34" s="624">
        <v>1500001</v>
      </c>
      <c r="H34" s="623">
        <f t="shared" si="30"/>
        <v>1155</v>
      </c>
      <c r="I34" s="621">
        <f t="shared" si="31"/>
        <v>105</v>
      </c>
      <c r="J34" s="623">
        <f t="shared" si="32"/>
        <v>1050</v>
      </c>
      <c r="K34" s="393"/>
      <c r="L34" s="624">
        <v>1500001</v>
      </c>
      <c r="M34" s="623">
        <f t="shared" si="26"/>
        <v>1155</v>
      </c>
      <c r="N34" s="621">
        <f t="shared" si="33"/>
        <v>105</v>
      </c>
      <c r="O34" s="623">
        <f t="shared" si="34"/>
        <v>1050</v>
      </c>
      <c r="Q34" s="624">
        <v>1500001</v>
      </c>
      <c r="R34" s="623">
        <f t="shared" si="27"/>
        <v>1155</v>
      </c>
      <c r="S34" s="621">
        <f t="shared" si="35"/>
        <v>105</v>
      </c>
      <c r="T34" s="623">
        <f t="shared" si="36"/>
        <v>1050</v>
      </c>
      <c r="V34" s="393"/>
      <c r="W34" s="393"/>
      <c r="X34" s="393"/>
      <c r="Y34" s="393"/>
      <c r="Z34" s="393"/>
    </row>
    <row r="35" spans="2:26" x14ac:dyDescent="0.2">
      <c r="B35" s="624">
        <v>1750001</v>
      </c>
      <c r="C35" s="623">
        <f t="shared" si="28"/>
        <v>1320</v>
      </c>
      <c r="D35" s="621">
        <f t="shared" si="29"/>
        <v>120</v>
      </c>
      <c r="E35" s="623">
        <v>1200</v>
      </c>
      <c r="F35" s="393"/>
      <c r="G35" s="624">
        <v>1750001</v>
      </c>
      <c r="H35" s="623">
        <f t="shared" si="30"/>
        <v>1320</v>
      </c>
      <c r="I35" s="621">
        <f t="shared" si="31"/>
        <v>120</v>
      </c>
      <c r="J35" s="623">
        <f t="shared" si="32"/>
        <v>1200</v>
      </c>
      <c r="K35" s="393"/>
      <c r="L35" s="624">
        <v>1750001</v>
      </c>
      <c r="M35" s="623">
        <f t="shared" si="26"/>
        <v>1320</v>
      </c>
      <c r="N35" s="621">
        <f t="shared" si="33"/>
        <v>120</v>
      </c>
      <c r="O35" s="623">
        <f t="shared" si="34"/>
        <v>1200</v>
      </c>
      <c r="Q35" s="624">
        <v>1750001</v>
      </c>
      <c r="R35" s="623">
        <f t="shared" si="27"/>
        <v>1320</v>
      </c>
      <c r="S35" s="621">
        <f t="shared" si="35"/>
        <v>120</v>
      </c>
      <c r="T35" s="623">
        <f t="shared" si="36"/>
        <v>1200</v>
      </c>
      <c r="V35" s="393"/>
      <c r="W35" s="393"/>
      <c r="X35" s="393"/>
      <c r="Y35" s="393"/>
      <c r="Z35" s="393"/>
    </row>
    <row r="36" spans="2:26" ht="13.5" thickBot="1" x14ac:dyDescent="0.25">
      <c r="B36" s="629">
        <v>2000001</v>
      </c>
      <c r="C36" s="632">
        <f>'Fee Calculator'!E6*0.00065</f>
        <v>0</v>
      </c>
      <c r="D36" s="633">
        <f>C36-E36</f>
        <v>0</v>
      </c>
      <c r="E36" s="632">
        <f>C36/1.1</f>
        <v>0</v>
      </c>
      <c r="F36" s="393"/>
      <c r="G36" s="629">
        <v>2000001</v>
      </c>
      <c r="H36" s="632">
        <f>'Property Purchase Calculator'!F6*0.00035</f>
        <v>0</v>
      </c>
      <c r="I36" s="633">
        <f t="shared" si="31"/>
        <v>0</v>
      </c>
      <c r="J36" s="632">
        <f t="shared" si="32"/>
        <v>0</v>
      </c>
      <c r="K36" s="393"/>
      <c r="L36" s="629">
        <v>2000001</v>
      </c>
      <c r="M36" s="632">
        <f>'Fee Calculator'!E6*0.00035</f>
        <v>0</v>
      </c>
      <c r="N36" s="633">
        <f t="shared" si="33"/>
        <v>0</v>
      </c>
      <c r="O36" s="632">
        <f t="shared" si="34"/>
        <v>0</v>
      </c>
      <c r="Q36" s="629">
        <v>2000001</v>
      </c>
      <c r="R36" s="632">
        <f>'Fee Calculator'!E6*0.00035</f>
        <v>0</v>
      </c>
      <c r="S36" s="633">
        <f t="shared" si="35"/>
        <v>0</v>
      </c>
      <c r="T36" s="632">
        <f t="shared" si="36"/>
        <v>0</v>
      </c>
      <c r="V36" s="393"/>
      <c r="W36" s="393"/>
      <c r="X36" s="393"/>
      <c r="Y36" s="393"/>
      <c r="Z36" s="393"/>
    </row>
    <row r="37" spans="2:26" x14ac:dyDescent="0.2">
      <c r="F37" s="393"/>
      <c r="K37" s="393"/>
      <c r="V37" s="393"/>
      <c r="W37" s="393"/>
      <c r="X37" s="393"/>
      <c r="Y37" s="393"/>
      <c r="Z37" s="393"/>
    </row>
    <row r="38" spans="2:26" x14ac:dyDescent="0.2">
      <c r="C38" s="442">
        <f>SUM(C5:C36)</f>
        <v>38566</v>
      </c>
      <c r="F38" s="393"/>
      <c r="H38" s="442">
        <f>SUM(H5:H36)</f>
        <v>35211</v>
      </c>
      <c r="K38" s="393"/>
      <c r="M38" s="442">
        <f>SUM(M5:M36)</f>
        <v>35211</v>
      </c>
      <c r="R38" s="442">
        <f>SUM(R5:R36)</f>
        <v>18876</v>
      </c>
      <c r="V38" s="393"/>
      <c r="W38" s="393"/>
      <c r="X38" s="393"/>
      <c r="Y38" s="393"/>
      <c r="Z38" s="393"/>
    </row>
    <row r="39" spans="2:26" x14ac:dyDescent="0.2">
      <c r="F39" s="393"/>
      <c r="K39" s="393"/>
    </row>
    <row r="40" spans="2:26" x14ac:dyDescent="0.2">
      <c r="F40" s="393"/>
      <c r="K40" s="393"/>
    </row>
    <row r="41" spans="2:26" x14ac:dyDescent="0.2">
      <c r="F41" s="393"/>
      <c r="K41" s="393"/>
      <c r="O41" s="653"/>
      <c r="T41" s="653"/>
      <c r="W41" s="653"/>
      <c r="X41" s="653"/>
    </row>
    <row r="42" spans="2:26" x14ac:dyDescent="0.2">
      <c r="F42" s="393"/>
      <c r="K42" s="393"/>
    </row>
    <row r="43" spans="2:26" x14ac:dyDescent="0.2">
      <c r="C43" s="654" t="s">
        <v>347</v>
      </c>
      <c r="D43" s="654" t="s">
        <v>348</v>
      </c>
      <c r="F43" s="393"/>
      <c r="K43" s="393"/>
    </row>
    <row r="44" spans="2:26" x14ac:dyDescent="0.2">
      <c r="B44" s="395" t="s">
        <v>349</v>
      </c>
      <c r="C44" s="655">
        <f>'Fee Calculator'!E6</f>
        <v>0</v>
      </c>
      <c r="D44" s="655" t="e">
        <f>#REF!</f>
        <v>#REF!</v>
      </c>
    </row>
    <row r="45" spans="2:26" x14ac:dyDescent="0.2">
      <c r="B45" s="395" t="s">
        <v>350</v>
      </c>
      <c r="C45" s="655">
        <f>'Fee Calculator'!E10</f>
        <v>0</v>
      </c>
      <c r="D45" s="655" t="e">
        <f>#REF!</f>
        <v>#REF!</v>
      </c>
    </row>
    <row r="46" spans="2:26" x14ac:dyDescent="0.2">
      <c r="B46" s="395" t="s">
        <v>351</v>
      </c>
      <c r="C46" s="655">
        <f>'Fee Calculator'!E11</f>
        <v>0</v>
      </c>
      <c r="D46" s="655" t="e">
        <f>#REF!</f>
        <v>#REF!</v>
      </c>
    </row>
    <row r="47" spans="2:26" x14ac:dyDescent="0.2">
      <c r="B47" s="395" t="s">
        <v>352</v>
      </c>
      <c r="C47" s="655">
        <f>'Fee Calculator'!E12</f>
        <v>0</v>
      </c>
      <c r="D47" s="655" t="e">
        <f>#REF!</f>
        <v>#REF!</v>
      </c>
    </row>
  </sheetData>
  <sheetProtection algorithmName="SHA-512" hashValue="fBObIohIbYeSMNGO5dBUO+EwAo8NSQMIUU1G8YhJH/PTYOUIuq/5DZyuV7rVoCAv5yJm6iYbOycvj7qQRSvr1A==" saltValue="j2s+Y3K3dN3msC/yNZGHIA==" spinCount="100000" sheet="1" objects="1" scenarios="1" selectLockedCells="1"/>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9F59-48F2-4DD6-A8E1-3DA1C00DB861}">
  <sheetPr codeName="Sheet12">
    <tabColor rgb="FFFFFFCC"/>
    <pageSetUpPr fitToPage="1"/>
  </sheetPr>
  <dimension ref="A2:AT173"/>
  <sheetViews>
    <sheetView workbookViewId="0">
      <selection activeCell="AW130" sqref="AW130"/>
    </sheetView>
  </sheetViews>
  <sheetFormatPr defaultColWidth="8.85546875" defaultRowHeight="12.75" x14ac:dyDescent="0.2"/>
  <cols>
    <col min="1" max="1" width="3.7109375" style="185" customWidth="1"/>
    <col min="2" max="2" width="11.85546875" style="185" hidden="1" customWidth="1"/>
    <col min="3" max="5" width="16.7109375" style="185" hidden="1" customWidth="1"/>
    <col min="6" max="6" width="12.5703125" style="185" hidden="1" customWidth="1"/>
    <col min="7" max="7" width="8.85546875" style="185" hidden="1" customWidth="1"/>
    <col min="8" max="9" width="11.42578125" style="185" hidden="1" customWidth="1"/>
    <col min="10" max="10" width="5" style="185" customWidth="1"/>
    <col min="11" max="11" width="5.42578125" style="185" customWidth="1"/>
    <col min="12" max="12" width="11.85546875" style="185" customWidth="1"/>
    <col min="13" max="15" width="16.7109375" style="185" customWidth="1"/>
    <col min="16" max="16" width="13.28515625" style="185" bestFit="1" customWidth="1"/>
    <col min="17" max="17" width="8.85546875" style="185"/>
    <col min="18" max="18" width="13.140625" style="185" customWidth="1"/>
    <col min="19" max="19" width="11.42578125" style="185" hidden="1" customWidth="1"/>
    <col min="20" max="20" width="5" style="185" hidden="1" customWidth="1"/>
    <col min="21" max="21" width="3.7109375" style="185" hidden="1" customWidth="1"/>
    <col min="22" max="22" width="11.85546875" style="185" hidden="1" customWidth="1"/>
    <col min="23" max="25" width="16.7109375" style="185" hidden="1" customWidth="1"/>
    <col min="26" max="26" width="12.5703125" style="185" hidden="1" customWidth="1"/>
    <col min="27" max="27" width="0" style="185" hidden="1" customWidth="1"/>
    <col min="28" max="29" width="11.42578125" style="185" hidden="1" customWidth="1"/>
    <col min="30" max="30" width="5" style="185" hidden="1" customWidth="1"/>
    <col min="31" max="31" width="3.7109375" style="185" hidden="1" customWidth="1"/>
    <col min="32" max="32" width="11.85546875" style="185" hidden="1" customWidth="1"/>
    <col min="33" max="35" width="16.7109375" style="185" hidden="1" customWidth="1"/>
    <col min="36" max="36" width="12.5703125" style="185" hidden="1" customWidth="1"/>
    <col min="37" max="37" width="0" style="185" hidden="1" customWidth="1"/>
    <col min="38" max="39" width="11.42578125" style="185" hidden="1" customWidth="1"/>
    <col min="40" max="40" width="5" style="185" hidden="1" customWidth="1"/>
    <col min="41" max="41" width="8.28515625" style="185" customWidth="1"/>
    <col min="42" max="42" width="19" style="185" bestFit="1" customWidth="1"/>
    <col min="43" max="43" width="11.28515625" style="185" bestFit="1" customWidth="1"/>
    <col min="44" max="44" width="8.85546875" style="185"/>
    <col min="45" max="46" width="10.7109375" style="185" bestFit="1" customWidth="1"/>
    <col min="47" max="47" width="9.140625" style="185" bestFit="1" customWidth="1"/>
    <col min="48" max="48" width="16.28515625" style="185" bestFit="1" customWidth="1"/>
    <col min="49" max="49" width="19.42578125" style="185" bestFit="1" customWidth="1"/>
    <col min="50" max="50" width="18.140625" style="185" customWidth="1"/>
    <col min="51" max="51" width="10.7109375" style="185" bestFit="1" customWidth="1"/>
    <col min="52" max="16384" width="8.85546875" style="185"/>
  </cols>
  <sheetData>
    <row r="2" spans="2:40" x14ac:dyDescent="0.2">
      <c r="C2" s="308" t="s">
        <v>353</v>
      </c>
      <c r="D2" s="656">
        <f>E6*0</f>
        <v>0</v>
      </c>
      <c r="M2" s="308" t="s">
        <v>353</v>
      </c>
      <c r="N2" s="656">
        <f>O6</f>
        <v>0</v>
      </c>
      <c r="P2" s="185" t="s">
        <v>354</v>
      </c>
    </row>
    <row r="3" spans="2:40" x14ac:dyDescent="0.2">
      <c r="C3" s="308" t="s">
        <v>355</v>
      </c>
      <c r="D3" s="656">
        <f>O7+Y7+AI7</f>
        <v>0</v>
      </c>
      <c r="M3" s="308" t="s">
        <v>355</v>
      </c>
      <c r="N3" s="656">
        <f>O7+Y7+AI7</f>
        <v>0</v>
      </c>
    </row>
    <row r="5" spans="2:40" ht="15.75" x14ac:dyDescent="0.25">
      <c r="B5" s="657" t="s">
        <v>356</v>
      </c>
      <c r="J5" s="658"/>
      <c r="L5" s="657" t="s">
        <v>357</v>
      </c>
      <c r="T5" s="659"/>
      <c r="V5" s="657" t="s">
        <v>358</v>
      </c>
      <c r="AD5" s="660"/>
      <c r="AF5" s="657" t="s">
        <v>359</v>
      </c>
      <c r="AN5" s="661"/>
    </row>
    <row r="6" spans="2:40" x14ac:dyDescent="0.2">
      <c r="C6" s="185" t="s">
        <v>360</v>
      </c>
      <c r="D6" s="662">
        <f>'Property Purchase Calculator'!D10</f>
        <v>0</v>
      </c>
      <c r="E6" s="663">
        <f>IF(D6=0,0,VLOOKUP(D6,B11:D17,3,FALSE))</f>
        <v>0</v>
      </c>
      <c r="J6" s="658"/>
      <c r="M6" s="185" t="s">
        <v>361</v>
      </c>
      <c r="N6" s="662">
        <f>'Property Purchase Calculator'!D10</f>
        <v>0</v>
      </c>
      <c r="T6" s="659"/>
      <c r="W6" s="185" t="s">
        <v>362</v>
      </c>
      <c r="X6" s="662"/>
      <c r="AD6" s="660"/>
      <c r="AG6" s="185" t="s">
        <v>363</v>
      </c>
      <c r="AH6" s="662"/>
      <c r="AN6" s="661"/>
    </row>
    <row r="7" spans="2:40" x14ac:dyDescent="0.2">
      <c r="C7" s="185" t="s">
        <v>364</v>
      </c>
      <c r="D7" s="664"/>
      <c r="J7" s="658"/>
      <c r="M7" s="185" t="s">
        <v>364</v>
      </c>
      <c r="N7" s="665">
        <f>'Property Purchase Calculator'!F10</f>
        <v>0</v>
      </c>
      <c r="O7" s="656">
        <f>IF(N6=0,0,VLOOKUP(N6,L11:M17,2,FALSE))</f>
        <v>0</v>
      </c>
      <c r="T7" s="659"/>
      <c r="W7" s="185" t="s">
        <v>364</v>
      </c>
      <c r="X7" s="665"/>
      <c r="Y7" s="656">
        <f>IF(X6=0,0,VLOOKUP(X6,V11:W17,2,FALSE))</f>
        <v>0</v>
      </c>
      <c r="AD7" s="660"/>
      <c r="AG7" s="185" t="s">
        <v>364</v>
      </c>
      <c r="AH7" s="665"/>
      <c r="AI7" s="656">
        <f>IF(AH6=0,0,VLOOKUP(AH6,AF11:AG17,2,FALSE))</f>
        <v>0</v>
      </c>
      <c r="AN7" s="661"/>
    </row>
    <row r="8" spans="2:40" x14ac:dyDescent="0.2">
      <c r="C8" s="185" t="s">
        <v>365</v>
      </c>
      <c r="D8" s="665">
        <f>'Property Purchase Calculator'!F6</f>
        <v>0</v>
      </c>
      <c r="J8" s="658"/>
      <c r="M8" s="185" t="s">
        <v>365</v>
      </c>
      <c r="N8" s="664"/>
      <c r="T8" s="659"/>
      <c r="W8" s="185" t="s">
        <v>365</v>
      </c>
      <c r="X8" s="664"/>
      <c r="AD8" s="660"/>
      <c r="AG8" s="185" t="s">
        <v>365</v>
      </c>
      <c r="AH8" s="664"/>
      <c r="AN8" s="661"/>
    </row>
    <row r="9" spans="2:40" x14ac:dyDescent="0.2">
      <c r="J9" s="658"/>
      <c r="T9" s="659"/>
      <c r="AD9" s="660"/>
      <c r="AN9" s="661"/>
    </row>
    <row r="10" spans="2:40" s="342" customFormat="1" ht="15.95" customHeight="1" x14ac:dyDescent="0.2">
      <c r="C10" s="666" t="s">
        <v>3</v>
      </c>
      <c r="D10" s="666" t="s">
        <v>366</v>
      </c>
      <c r="E10" s="666" t="s">
        <v>335</v>
      </c>
      <c r="J10" s="667"/>
      <c r="M10" s="666" t="s">
        <v>3</v>
      </c>
      <c r="N10" s="666"/>
      <c r="O10" s="666" t="s">
        <v>335</v>
      </c>
      <c r="T10" s="668"/>
      <c r="W10" s="666" t="s">
        <v>3</v>
      </c>
      <c r="X10" s="666" t="s">
        <v>366</v>
      </c>
      <c r="Y10" s="666" t="s">
        <v>335</v>
      </c>
      <c r="AD10" s="669"/>
      <c r="AG10" s="666" t="s">
        <v>3</v>
      </c>
      <c r="AH10" s="666" t="s">
        <v>366</v>
      </c>
      <c r="AI10" s="666" t="s">
        <v>335</v>
      </c>
      <c r="AN10" s="670"/>
    </row>
    <row r="11" spans="2:40" s="342" customFormat="1" ht="15.95" customHeight="1" x14ac:dyDescent="0.2">
      <c r="B11" s="671" t="s">
        <v>314</v>
      </c>
      <c r="C11" s="672">
        <f>'Stamp Duty'!H148</f>
        <v>0</v>
      </c>
      <c r="D11" s="672">
        <f>'Stamp Duty'!I148</f>
        <v>0</v>
      </c>
      <c r="E11" s="673">
        <f t="shared" ref="E11:E17" si="0">SUM(C11:D11)</f>
        <v>0</v>
      </c>
      <c r="J11" s="667"/>
      <c r="L11" s="671" t="s">
        <v>314</v>
      </c>
      <c r="M11" s="672">
        <f>'Stamp Duty'!R148</f>
        <v>0</v>
      </c>
      <c r="N11" s="672"/>
      <c r="O11" s="673">
        <f t="shared" ref="O11:O17" si="1">SUM(M11:N11)</f>
        <v>0</v>
      </c>
      <c r="T11" s="668"/>
      <c r="V11" s="671" t="s">
        <v>314</v>
      </c>
      <c r="W11" s="672">
        <f>'Stamp Duty'!AB148</f>
        <v>0</v>
      </c>
      <c r="X11" s="672">
        <f>'Stamp Duty'!AC148</f>
        <v>0</v>
      </c>
      <c r="Y11" s="673">
        <f t="shared" ref="Y11:Y17" si="2">SUM(W11:X11)</f>
        <v>0</v>
      </c>
      <c r="AD11" s="669"/>
      <c r="AF11" s="671" t="s">
        <v>314</v>
      </c>
      <c r="AG11" s="672">
        <f>'Stamp Duty'!AL148</f>
        <v>0</v>
      </c>
      <c r="AH11" s="672">
        <f>'Stamp Duty'!AM148</f>
        <v>0</v>
      </c>
      <c r="AI11" s="673">
        <f t="shared" ref="AI11:AI17" si="3">SUM(AG11:AH11)</f>
        <v>0</v>
      </c>
      <c r="AN11" s="670"/>
    </row>
    <row r="12" spans="2:40" s="342" customFormat="1" ht="15.95" customHeight="1" x14ac:dyDescent="0.2">
      <c r="B12" s="671" t="s">
        <v>308</v>
      </c>
      <c r="C12" s="672">
        <f>'Stamp Duty'!H22</f>
        <v>0</v>
      </c>
      <c r="D12" s="672">
        <f>'Stamp Duty'!I22</f>
        <v>0</v>
      </c>
      <c r="E12" s="673">
        <f t="shared" si="0"/>
        <v>0</v>
      </c>
      <c r="J12" s="667"/>
      <c r="L12" s="671" t="s">
        <v>308</v>
      </c>
      <c r="M12" s="672">
        <f>'Stamp Duty'!R22</f>
        <v>0</v>
      </c>
      <c r="N12" s="672"/>
      <c r="O12" s="673">
        <f t="shared" si="1"/>
        <v>0</v>
      </c>
      <c r="T12" s="668"/>
      <c r="V12" s="671" t="s">
        <v>308</v>
      </c>
      <c r="W12" s="672">
        <f>'Stamp Duty'!AB22</f>
        <v>0</v>
      </c>
      <c r="X12" s="672">
        <f>'Stamp Duty'!AC22</f>
        <v>0</v>
      </c>
      <c r="Y12" s="673">
        <f t="shared" si="2"/>
        <v>0</v>
      </c>
      <c r="AD12" s="669"/>
      <c r="AF12" s="671" t="s">
        <v>308</v>
      </c>
      <c r="AG12" s="672">
        <f>'Stamp Duty'!AL22</f>
        <v>0</v>
      </c>
      <c r="AH12" s="672">
        <f>'Stamp Duty'!AM22</f>
        <v>0</v>
      </c>
      <c r="AI12" s="673">
        <f t="shared" si="3"/>
        <v>0</v>
      </c>
      <c r="AN12" s="670"/>
    </row>
    <row r="13" spans="2:40" s="342" customFormat="1" ht="15.95" customHeight="1" x14ac:dyDescent="0.2">
      <c r="B13" s="671" t="s">
        <v>310</v>
      </c>
      <c r="C13" s="672">
        <f>'Stamp Duty'!H42</f>
        <v>0</v>
      </c>
      <c r="D13" s="672">
        <f>'Stamp Duty'!I42</f>
        <v>0</v>
      </c>
      <c r="E13" s="672">
        <f t="shared" si="0"/>
        <v>0</v>
      </c>
      <c r="J13" s="667"/>
      <c r="L13" s="671" t="s">
        <v>310</v>
      </c>
      <c r="M13" s="672">
        <f>'Stamp Duty'!R42</f>
        <v>0</v>
      </c>
      <c r="N13" s="672"/>
      <c r="O13" s="672">
        <f>SUM(M13:N13)</f>
        <v>0</v>
      </c>
      <c r="T13" s="668"/>
      <c r="V13" s="671" t="s">
        <v>310</v>
      </c>
      <c r="W13" s="672">
        <f>'Stamp Duty'!AB42</f>
        <v>0</v>
      </c>
      <c r="X13" s="672">
        <f>'Stamp Duty'!AC42</f>
        <v>0</v>
      </c>
      <c r="Y13" s="672">
        <f t="shared" si="2"/>
        <v>0</v>
      </c>
      <c r="AD13" s="669"/>
      <c r="AF13" s="671" t="s">
        <v>310</v>
      </c>
      <c r="AG13" s="672">
        <f>'Stamp Duty'!AL42</f>
        <v>0</v>
      </c>
      <c r="AH13" s="672">
        <f>'Stamp Duty'!AM42</f>
        <v>0</v>
      </c>
      <c r="AI13" s="672">
        <f t="shared" si="3"/>
        <v>0</v>
      </c>
      <c r="AN13" s="670"/>
    </row>
    <row r="14" spans="2:40" s="342" customFormat="1" ht="15.95" customHeight="1" x14ac:dyDescent="0.2">
      <c r="B14" s="671" t="s">
        <v>312</v>
      </c>
      <c r="C14" s="672">
        <f>'Stamp Duty'!H82</f>
        <v>0</v>
      </c>
      <c r="D14" s="672">
        <f>'Stamp Duty'!I82</f>
        <v>0</v>
      </c>
      <c r="E14" s="673">
        <f t="shared" si="0"/>
        <v>0</v>
      </c>
      <c r="J14" s="667"/>
      <c r="L14" s="671" t="s">
        <v>312</v>
      </c>
      <c r="M14" s="672">
        <f>'Stamp Duty'!R82</f>
        <v>0</v>
      </c>
      <c r="N14" s="672"/>
      <c r="O14" s="673">
        <f t="shared" si="1"/>
        <v>0</v>
      </c>
      <c r="R14" s="674"/>
      <c r="T14" s="668"/>
      <c r="V14" s="671" t="s">
        <v>312</v>
      </c>
      <c r="W14" s="672">
        <f>'Stamp Duty'!AB82</f>
        <v>0</v>
      </c>
      <c r="X14" s="672">
        <f>'Stamp Duty'!AC82</f>
        <v>0</v>
      </c>
      <c r="Y14" s="673">
        <f t="shared" si="2"/>
        <v>0</v>
      </c>
      <c r="AD14" s="669"/>
      <c r="AF14" s="671" t="s">
        <v>312</v>
      </c>
      <c r="AG14" s="672">
        <f>'Stamp Duty'!AL82</f>
        <v>0</v>
      </c>
      <c r="AH14" s="672">
        <f>'Stamp Duty'!AM82</f>
        <v>0</v>
      </c>
      <c r="AI14" s="673">
        <f t="shared" si="3"/>
        <v>0</v>
      </c>
      <c r="AN14" s="670"/>
    </row>
    <row r="15" spans="2:40" s="342" customFormat="1" ht="15.95" customHeight="1" x14ac:dyDescent="0.2">
      <c r="B15" s="671" t="s">
        <v>313</v>
      </c>
      <c r="C15" s="672">
        <f>'Stamp Duty'!H126</f>
        <v>0</v>
      </c>
      <c r="D15" s="672">
        <f>'Stamp Duty'!I126</f>
        <v>0</v>
      </c>
      <c r="E15" s="673">
        <f t="shared" si="0"/>
        <v>0</v>
      </c>
      <c r="J15" s="667"/>
      <c r="L15" s="671" t="s">
        <v>313</v>
      </c>
      <c r="M15" s="672">
        <f>'Stamp Duty'!R126</f>
        <v>0</v>
      </c>
      <c r="N15" s="672"/>
      <c r="O15" s="673">
        <f t="shared" si="1"/>
        <v>0</v>
      </c>
      <c r="T15" s="668"/>
      <c r="V15" s="671" t="s">
        <v>313</v>
      </c>
      <c r="W15" s="672">
        <f>'Stamp Duty'!AB126</f>
        <v>0</v>
      </c>
      <c r="X15" s="672">
        <f>'Stamp Duty'!AC126</f>
        <v>0</v>
      </c>
      <c r="Y15" s="673">
        <f t="shared" si="2"/>
        <v>0</v>
      </c>
      <c r="AD15" s="669"/>
      <c r="AF15" s="671" t="s">
        <v>313</v>
      </c>
      <c r="AG15" s="672">
        <f>'Stamp Duty'!AL126</f>
        <v>0</v>
      </c>
      <c r="AH15" s="672">
        <f>'Stamp Duty'!AM126</f>
        <v>0</v>
      </c>
      <c r="AI15" s="673">
        <f t="shared" si="3"/>
        <v>0</v>
      </c>
      <c r="AN15" s="670"/>
    </row>
    <row r="16" spans="2:40" s="342" customFormat="1" ht="15.95" customHeight="1" x14ac:dyDescent="0.2">
      <c r="B16" s="671" t="s">
        <v>309</v>
      </c>
      <c r="C16" s="672">
        <f>'Stamp Duty'!H62</f>
        <v>0</v>
      </c>
      <c r="D16" s="672">
        <f>'Stamp Duty'!I62</f>
        <v>0</v>
      </c>
      <c r="E16" s="673">
        <f t="shared" si="0"/>
        <v>0</v>
      </c>
      <c r="J16" s="667"/>
      <c r="L16" s="671" t="s">
        <v>309</v>
      </c>
      <c r="M16" s="672">
        <f>'Stamp Duty'!R62</f>
        <v>0</v>
      </c>
      <c r="N16" s="672"/>
      <c r="O16" s="673">
        <f t="shared" si="1"/>
        <v>0</v>
      </c>
      <c r="T16" s="668"/>
      <c r="V16" s="671" t="s">
        <v>309</v>
      </c>
      <c r="W16" s="672">
        <f>'Stamp Duty'!AB62</f>
        <v>0</v>
      </c>
      <c r="X16" s="672">
        <f>'Stamp Duty'!AC62</f>
        <v>0</v>
      </c>
      <c r="Y16" s="673">
        <f t="shared" si="2"/>
        <v>0</v>
      </c>
      <c r="AD16" s="669"/>
      <c r="AF16" s="671" t="s">
        <v>309</v>
      </c>
      <c r="AG16" s="672">
        <f>'Stamp Duty'!AL62</f>
        <v>0</v>
      </c>
      <c r="AH16" s="672">
        <f>'Stamp Duty'!AM62</f>
        <v>0</v>
      </c>
      <c r="AI16" s="673">
        <f t="shared" si="3"/>
        <v>0</v>
      </c>
      <c r="AN16" s="670"/>
    </row>
    <row r="17" spans="1:42" s="342" customFormat="1" ht="15.95" customHeight="1" x14ac:dyDescent="0.2">
      <c r="B17" s="671" t="s">
        <v>311</v>
      </c>
      <c r="C17" s="672">
        <f>'Stamp Duty'!H104</f>
        <v>0</v>
      </c>
      <c r="D17" s="672">
        <f>'Stamp Duty'!I104</f>
        <v>0</v>
      </c>
      <c r="E17" s="673">
        <f t="shared" si="0"/>
        <v>0</v>
      </c>
      <c r="J17" s="667"/>
      <c r="L17" s="671" t="s">
        <v>311</v>
      </c>
      <c r="M17" s="672">
        <f>'Stamp Duty'!R104</f>
        <v>0</v>
      </c>
      <c r="N17" s="672"/>
      <c r="O17" s="673">
        <f t="shared" si="1"/>
        <v>0</v>
      </c>
      <c r="T17" s="668"/>
      <c r="V17" s="671" t="s">
        <v>311</v>
      </c>
      <c r="W17" s="672">
        <f>'Stamp Duty'!AB104</f>
        <v>0</v>
      </c>
      <c r="X17" s="672">
        <f>'Stamp Duty'!AC104</f>
        <v>0</v>
      </c>
      <c r="Y17" s="673">
        <f t="shared" si="2"/>
        <v>0</v>
      </c>
      <c r="AD17" s="669"/>
      <c r="AF17" s="671" t="s">
        <v>311</v>
      </c>
      <c r="AG17" s="672">
        <f>'Stamp Duty'!AL104</f>
        <v>0</v>
      </c>
      <c r="AH17" s="672">
        <f>'Stamp Duty'!AM104</f>
        <v>0</v>
      </c>
      <c r="AI17" s="673">
        <f t="shared" si="3"/>
        <v>0</v>
      </c>
      <c r="AN17" s="670"/>
    </row>
    <row r="18" spans="1:42" x14ac:dyDescent="0.2">
      <c r="J18" s="658"/>
      <c r="T18" s="659"/>
      <c r="AD18" s="660"/>
      <c r="AN18" s="661"/>
    </row>
    <row r="19" spans="1:42" x14ac:dyDescent="0.2">
      <c r="A19" s="193"/>
      <c r="B19" s="193"/>
      <c r="C19" s="193"/>
      <c r="D19" s="193"/>
      <c r="E19" s="193"/>
      <c r="F19" s="193"/>
      <c r="G19" s="193"/>
      <c r="H19" s="193"/>
      <c r="I19" s="193"/>
      <c r="J19" s="675"/>
      <c r="K19" s="193"/>
      <c r="L19" s="193"/>
      <c r="M19" s="193"/>
      <c r="N19" s="193"/>
      <c r="O19" s="193"/>
      <c r="P19" s="193"/>
      <c r="Q19" s="193"/>
      <c r="R19" s="193"/>
      <c r="S19" s="193"/>
      <c r="T19" s="676"/>
      <c r="U19" s="193"/>
      <c r="V19" s="193"/>
      <c r="W19" s="193"/>
      <c r="X19" s="193"/>
      <c r="Y19" s="193"/>
      <c r="Z19" s="193"/>
      <c r="AA19" s="193"/>
      <c r="AB19" s="193"/>
      <c r="AC19" s="193"/>
      <c r="AD19" s="677"/>
      <c r="AE19" s="193"/>
      <c r="AF19" s="193"/>
      <c r="AG19" s="193"/>
      <c r="AH19" s="193"/>
      <c r="AI19" s="193"/>
      <c r="AJ19" s="193"/>
      <c r="AK19" s="193"/>
      <c r="AL19" s="193"/>
      <c r="AM19" s="193"/>
      <c r="AN19" s="678"/>
    </row>
    <row r="20" spans="1:42" x14ac:dyDescent="0.2">
      <c r="J20" s="658"/>
      <c r="T20" s="659"/>
      <c r="AD20" s="660"/>
      <c r="AN20" s="661"/>
      <c r="AP20" s="308" t="s">
        <v>367</v>
      </c>
    </row>
    <row r="21" spans="1:42" ht="15.75" x14ac:dyDescent="0.25">
      <c r="B21" s="679" t="s">
        <v>308</v>
      </c>
      <c r="D21" s="185" t="s">
        <v>368</v>
      </c>
      <c r="E21" s="662" t="s">
        <v>369</v>
      </c>
      <c r="H21" s="680" t="s">
        <v>370</v>
      </c>
      <c r="I21" s="680" t="s">
        <v>371</v>
      </c>
      <c r="J21" s="658"/>
      <c r="L21" s="679" t="s">
        <v>308</v>
      </c>
      <c r="N21" s="185" t="s">
        <v>368</v>
      </c>
      <c r="O21" s="662" t="s">
        <v>369</v>
      </c>
      <c r="R21" s="680" t="s">
        <v>370</v>
      </c>
      <c r="S21" s="680" t="s">
        <v>371</v>
      </c>
      <c r="T21" s="659"/>
      <c r="V21" s="679" t="s">
        <v>308</v>
      </c>
      <c r="X21" s="185" t="s">
        <v>368</v>
      </c>
      <c r="Y21" s="662" t="s">
        <v>369</v>
      </c>
      <c r="AB21" s="680" t="s">
        <v>370</v>
      </c>
      <c r="AC21" s="680" t="s">
        <v>371</v>
      </c>
      <c r="AD21" s="660"/>
      <c r="AF21" s="679" t="s">
        <v>308</v>
      </c>
      <c r="AH21" s="185" t="s">
        <v>368</v>
      </c>
      <c r="AI21" s="662" t="s">
        <v>369</v>
      </c>
      <c r="AL21" s="680" t="s">
        <v>370</v>
      </c>
      <c r="AM21" s="680" t="s">
        <v>371</v>
      </c>
      <c r="AN21" s="661"/>
    </row>
    <row r="22" spans="1:42" x14ac:dyDescent="0.2">
      <c r="B22" s="442"/>
      <c r="H22" s="681">
        <f>SUM(H23:H30)</f>
        <v>0</v>
      </c>
      <c r="I22" s="681">
        <f>B36</f>
        <v>0</v>
      </c>
      <c r="J22" s="658"/>
      <c r="L22" s="442"/>
      <c r="R22" s="681">
        <f>SUM(R23:R30)</f>
        <v>0</v>
      </c>
      <c r="S22" s="681">
        <f>L36</f>
        <v>0</v>
      </c>
      <c r="T22" s="659"/>
      <c r="V22" s="442"/>
      <c r="AB22" s="681">
        <f>SUM(AB23:AB30)</f>
        <v>0</v>
      </c>
      <c r="AC22" s="681">
        <f>V36</f>
        <v>0</v>
      </c>
      <c r="AD22" s="660"/>
      <c r="AF22" s="442"/>
      <c r="AL22" s="681">
        <f>SUM(AL23:AL30)</f>
        <v>0</v>
      </c>
      <c r="AM22" s="681">
        <f>AF36</f>
        <v>0</v>
      </c>
      <c r="AN22" s="661"/>
    </row>
    <row r="23" spans="1:42" x14ac:dyDescent="0.2">
      <c r="B23" s="442">
        <v>0</v>
      </c>
      <c r="D23" s="682">
        <v>1.25</v>
      </c>
      <c r="E23" s="682">
        <v>0</v>
      </c>
      <c r="F23" s="681">
        <f>E23</f>
        <v>0</v>
      </c>
      <c r="G23" s="680" t="b">
        <f t="shared" ref="G23:G29" si="4">AND(B$33&gt;=B23,B$33&lt;B24)</f>
        <v>1</v>
      </c>
      <c r="H23" s="682">
        <f t="shared" ref="H23:H30" si="5">IF(G23=TRUE,(B$33-B23)/100*D24+F23,0)</f>
        <v>0</v>
      </c>
      <c r="I23" s="682"/>
      <c r="J23" s="658"/>
      <c r="L23" s="442">
        <v>0</v>
      </c>
      <c r="N23" s="682">
        <v>1.25</v>
      </c>
      <c r="O23" s="682">
        <v>0</v>
      </c>
      <c r="P23" s="681">
        <f>O23</f>
        <v>0</v>
      </c>
      <c r="Q23" s="680" t="b">
        <f t="shared" ref="Q23:Q29" si="6">AND(L$33&gt;=L23,L$33&lt;L24)</f>
        <v>1</v>
      </c>
      <c r="R23" s="682">
        <f>IF(Q23=TRUE,(L$33-L23)/100*N23+P23,0)</f>
        <v>0</v>
      </c>
      <c r="S23" s="682"/>
      <c r="T23" s="659"/>
      <c r="V23" s="442">
        <v>0</v>
      </c>
      <c r="X23" s="682">
        <v>1.25</v>
      </c>
      <c r="Y23" s="682">
        <v>0</v>
      </c>
      <c r="Z23" s="681">
        <f>Y23</f>
        <v>0</v>
      </c>
      <c r="AA23" s="680" t="b">
        <f t="shared" ref="AA23:AA29" si="7">AND(V$33&gt;=V23,V$33&lt;V24)</f>
        <v>1</v>
      </c>
      <c r="AB23" s="682">
        <f t="shared" ref="AB23:AB30" si="8">IF(AA23=TRUE,(V$33-V23)/100*X24+Z23,0)</f>
        <v>0</v>
      </c>
      <c r="AC23" s="682"/>
      <c r="AD23" s="660"/>
      <c r="AF23" s="442">
        <v>0</v>
      </c>
      <c r="AH23" s="682">
        <v>1.25</v>
      </c>
      <c r="AI23" s="682">
        <v>0</v>
      </c>
      <c r="AJ23" s="681">
        <f>AI23</f>
        <v>0</v>
      </c>
      <c r="AK23" s="680" t="b">
        <f t="shared" ref="AK23:AK29" si="9">AND(AF$33&gt;=AF23,AF$33&lt;AF24)</f>
        <v>1</v>
      </c>
      <c r="AL23" s="682">
        <f t="shared" ref="AL23:AL30" si="10">IF(AK23=TRUE,(AF$33-AF23)/100*AH24+AJ23,0)</f>
        <v>0</v>
      </c>
      <c r="AM23" s="682"/>
      <c r="AN23" s="661"/>
    </row>
    <row r="24" spans="1:42" x14ac:dyDescent="0.2">
      <c r="B24" s="442">
        <v>14000</v>
      </c>
      <c r="C24" s="683">
        <f>B24/100</f>
        <v>140</v>
      </c>
      <c r="D24" s="682">
        <v>1.25</v>
      </c>
      <c r="E24" s="682">
        <f>D24*C24</f>
        <v>175</v>
      </c>
      <c r="F24" s="681">
        <f>E24</f>
        <v>175</v>
      </c>
      <c r="G24" s="680" t="b">
        <f t="shared" si="4"/>
        <v>0</v>
      </c>
      <c r="H24" s="682">
        <f t="shared" si="5"/>
        <v>0</v>
      </c>
      <c r="I24" s="682"/>
      <c r="J24" s="658"/>
      <c r="L24" s="442">
        <v>14000</v>
      </c>
      <c r="M24" s="683">
        <f>L24/100</f>
        <v>140</v>
      </c>
      <c r="N24" s="682">
        <v>1.25</v>
      </c>
      <c r="O24" s="682">
        <f>N24*M24</f>
        <v>175</v>
      </c>
      <c r="P24" s="681">
        <f>O24</f>
        <v>175</v>
      </c>
      <c r="Q24" s="680" t="b">
        <f t="shared" si="6"/>
        <v>0</v>
      </c>
      <c r="R24" s="682">
        <f t="shared" ref="R24:R30" si="11">IF(Q24=TRUE,(L$33-L24)/100*N25+P24,0)</f>
        <v>0</v>
      </c>
      <c r="S24" s="682"/>
      <c r="T24" s="659"/>
      <c r="V24" s="442">
        <v>14000</v>
      </c>
      <c r="W24" s="683">
        <f>V24/100</f>
        <v>140</v>
      </c>
      <c r="X24" s="682">
        <v>1.25</v>
      </c>
      <c r="Y24" s="682">
        <f>X24*W24</f>
        <v>175</v>
      </c>
      <c r="Z24" s="681">
        <f>Y24</f>
        <v>175</v>
      </c>
      <c r="AA24" s="680" t="b">
        <f t="shared" si="7"/>
        <v>0</v>
      </c>
      <c r="AB24" s="682">
        <f t="shared" si="8"/>
        <v>0</v>
      </c>
      <c r="AC24" s="682"/>
      <c r="AD24" s="660"/>
      <c r="AF24" s="442">
        <v>14000</v>
      </c>
      <c r="AG24" s="683">
        <f>AF24/100</f>
        <v>140</v>
      </c>
      <c r="AH24" s="682">
        <v>1.25</v>
      </c>
      <c r="AI24" s="682">
        <f>AH24*AG24</f>
        <v>175</v>
      </c>
      <c r="AJ24" s="681">
        <f>AI24</f>
        <v>175</v>
      </c>
      <c r="AK24" s="680" t="b">
        <f t="shared" si="9"/>
        <v>0</v>
      </c>
      <c r="AL24" s="682">
        <f t="shared" si="10"/>
        <v>0</v>
      </c>
      <c r="AM24" s="682"/>
      <c r="AN24" s="661"/>
    </row>
    <row r="25" spans="1:42" x14ac:dyDescent="0.2">
      <c r="B25" s="442">
        <v>30000</v>
      </c>
      <c r="C25" s="683">
        <f>(B25-B24)/100</f>
        <v>160</v>
      </c>
      <c r="D25" s="682">
        <v>1.5</v>
      </c>
      <c r="E25" s="682">
        <f>C25*D25</f>
        <v>240</v>
      </c>
      <c r="F25" s="681">
        <f>E25+F24</f>
        <v>415</v>
      </c>
      <c r="G25" s="680" t="b">
        <f t="shared" si="4"/>
        <v>0</v>
      </c>
      <c r="H25" s="682">
        <f t="shared" si="5"/>
        <v>0</v>
      </c>
      <c r="I25" s="682"/>
      <c r="J25" s="658"/>
      <c r="K25" s="684"/>
      <c r="L25" s="442">
        <v>31000</v>
      </c>
      <c r="M25" s="683">
        <f>(L25-L24)/100</f>
        <v>170</v>
      </c>
      <c r="N25" s="682">
        <v>1.5</v>
      </c>
      <c r="O25" s="682">
        <f>M25*N25</f>
        <v>255</v>
      </c>
      <c r="P25" s="681">
        <f t="shared" ref="P25:P30" si="12">O25+P24</f>
        <v>430</v>
      </c>
      <c r="Q25" s="680" t="b">
        <f t="shared" si="6"/>
        <v>0</v>
      </c>
      <c r="R25" s="682">
        <f t="shared" si="11"/>
        <v>0</v>
      </c>
      <c r="S25" s="682"/>
      <c r="T25" s="659"/>
      <c r="V25" s="442">
        <v>30000</v>
      </c>
      <c r="W25" s="683">
        <f t="shared" ref="W25:W30" si="13">(V25-V24)/100</f>
        <v>160</v>
      </c>
      <c r="X25" s="682">
        <v>1.5</v>
      </c>
      <c r="Y25" s="682">
        <f t="shared" ref="Y25:Y30" si="14">W25*X25</f>
        <v>240</v>
      </c>
      <c r="Z25" s="681">
        <f t="shared" ref="Z25:Z30" si="15">Y25+Z24</f>
        <v>415</v>
      </c>
      <c r="AA25" s="680" t="b">
        <f t="shared" si="7"/>
        <v>0</v>
      </c>
      <c r="AB25" s="682">
        <f t="shared" si="8"/>
        <v>0</v>
      </c>
      <c r="AC25" s="682"/>
      <c r="AD25" s="660"/>
      <c r="AF25" s="442">
        <v>30000</v>
      </c>
      <c r="AG25" s="683">
        <f t="shared" ref="AG25:AG30" si="16">(AF25-AF24)/100</f>
        <v>160</v>
      </c>
      <c r="AH25" s="682">
        <v>1.5</v>
      </c>
      <c r="AI25" s="682">
        <f t="shared" ref="AI25:AI30" si="17">AG25*AH25</f>
        <v>240</v>
      </c>
      <c r="AJ25" s="681">
        <f t="shared" ref="AJ25:AJ30" si="18">AI25+AJ24</f>
        <v>415</v>
      </c>
      <c r="AK25" s="680" t="b">
        <f t="shared" si="9"/>
        <v>0</v>
      </c>
      <c r="AL25" s="682">
        <f t="shared" si="10"/>
        <v>0</v>
      </c>
      <c r="AM25" s="682"/>
      <c r="AN25" s="661"/>
    </row>
    <row r="26" spans="1:42" x14ac:dyDescent="0.2">
      <c r="B26" s="442">
        <v>80000</v>
      </c>
      <c r="C26" s="683">
        <f t="shared" ref="C26:C30" si="19">(B26-B25)/100</f>
        <v>500</v>
      </c>
      <c r="D26" s="682">
        <v>1.75</v>
      </c>
      <c r="E26" s="682">
        <f t="shared" ref="E26:E30" si="20">C26*D26</f>
        <v>875</v>
      </c>
      <c r="F26" s="681">
        <f t="shared" ref="F26:F30" si="21">E26+F25</f>
        <v>1290</v>
      </c>
      <c r="G26" s="680" t="b">
        <f t="shared" si="4"/>
        <v>0</v>
      </c>
      <c r="H26" s="682">
        <f t="shared" si="5"/>
        <v>0</v>
      </c>
      <c r="I26" s="682"/>
      <c r="J26" s="658"/>
      <c r="L26" s="442">
        <v>83000</v>
      </c>
      <c r="M26" s="683">
        <f>(L26-L25)/100</f>
        <v>520</v>
      </c>
      <c r="N26" s="682">
        <v>1.75</v>
      </c>
      <c r="O26" s="682">
        <f t="shared" ref="O26:O30" si="22">M26*N26</f>
        <v>910</v>
      </c>
      <c r="P26" s="681">
        <f t="shared" si="12"/>
        <v>1340</v>
      </c>
      <c r="Q26" s="680" t="b">
        <f t="shared" si="6"/>
        <v>0</v>
      </c>
      <c r="R26" s="682">
        <f>IF(Q26=TRUE,(L$33-L26)/100*N27+P26,0)</f>
        <v>0</v>
      </c>
      <c r="S26" s="682"/>
      <c r="T26" s="659"/>
      <c r="V26" s="442">
        <v>80000</v>
      </c>
      <c r="W26" s="683">
        <f t="shared" si="13"/>
        <v>500</v>
      </c>
      <c r="X26" s="682">
        <v>1.75</v>
      </c>
      <c r="Y26" s="682">
        <f t="shared" si="14"/>
        <v>875</v>
      </c>
      <c r="Z26" s="681">
        <f t="shared" si="15"/>
        <v>1290</v>
      </c>
      <c r="AA26" s="680" t="b">
        <f t="shared" si="7"/>
        <v>0</v>
      </c>
      <c r="AB26" s="682">
        <f t="shared" si="8"/>
        <v>0</v>
      </c>
      <c r="AC26" s="682"/>
      <c r="AD26" s="660"/>
      <c r="AF26" s="442">
        <v>80000</v>
      </c>
      <c r="AG26" s="683">
        <f t="shared" si="16"/>
        <v>500</v>
      </c>
      <c r="AH26" s="682">
        <v>1.75</v>
      </c>
      <c r="AI26" s="682">
        <f t="shared" si="17"/>
        <v>875</v>
      </c>
      <c r="AJ26" s="681">
        <f t="shared" si="18"/>
        <v>1290</v>
      </c>
      <c r="AK26" s="680" t="b">
        <f t="shared" si="9"/>
        <v>0</v>
      </c>
      <c r="AL26" s="682">
        <f t="shared" si="10"/>
        <v>0</v>
      </c>
      <c r="AM26" s="682"/>
      <c r="AN26" s="661"/>
    </row>
    <row r="27" spans="1:42" x14ac:dyDescent="0.2">
      <c r="B27" s="442">
        <v>300000</v>
      </c>
      <c r="C27" s="683">
        <f t="shared" si="19"/>
        <v>2200</v>
      </c>
      <c r="D27" s="682">
        <v>3.5</v>
      </c>
      <c r="E27" s="682">
        <f t="shared" si="20"/>
        <v>7700</v>
      </c>
      <c r="F27" s="681">
        <f t="shared" si="21"/>
        <v>8990</v>
      </c>
      <c r="G27" s="680" t="b">
        <f t="shared" si="4"/>
        <v>0</v>
      </c>
      <c r="H27" s="682">
        <f t="shared" si="5"/>
        <v>0</v>
      </c>
      <c r="I27" s="682"/>
      <c r="J27" s="658"/>
      <c r="L27" s="442">
        <v>313000</v>
      </c>
      <c r="M27" s="683">
        <f t="shared" ref="M27:M30" si="23">(L27-L26)/100</f>
        <v>2300</v>
      </c>
      <c r="N27" s="682">
        <v>3.5</v>
      </c>
      <c r="O27" s="682">
        <f t="shared" si="22"/>
        <v>8050</v>
      </c>
      <c r="P27" s="681">
        <f>O27+P26</f>
        <v>9390</v>
      </c>
      <c r="Q27" s="680" t="b">
        <f t="shared" si="6"/>
        <v>0</v>
      </c>
      <c r="R27" s="682">
        <f t="shared" si="11"/>
        <v>0</v>
      </c>
      <c r="S27" s="682"/>
      <c r="T27" s="659"/>
      <c r="V27" s="442">
        <v>300000</v>
      </c>
      <c r="W27" s="683">
        <f t="shared" si="13"/>
        <v>2200</v>
      </c>
      <c r="X27" s="682">
        <v>3.5</v>
      </c>
      <c r="Y27" s="682">
        <f t="shared" si="14"/>
        <v>7700</v>
      </c>
      <c r="Z27" s="681">
        <f t="shared" si="15"/>
        <v>8990</v>
      </c>
      <c r="AA27" s="680" t="b">
        <f t="shared" si="7"/>
        <v>0</v>
      </c>
      <c r="AB27" s="682">
        <f t="shared" si="8"/>
        <v>0</v>
      </c>
      <c r="AC27" s="682"/>
      <c r="AD27" s="660"/>
      <c r="AF27" s="442">
        <v>300000</v>
      </c>
      <c r="AG27" s="683">
        <f t="shared" si="16"/>
        <v>2200</v>
      </c>
      <c r="AH27" s="682">
        <v>3.5</v>
      </c>
      <c r="AI27" s="682">
        <f t="shared" si="17"/>
        <v>7700</v>
      </c>
      <c r="AJ27" s="681">
        <f t="shared" si="18"/>
        <v>8990</v>
      </c>
      <c r="AK27" s="680" t="b">
        <f t="shared" si="9"/>
        <v>0</v>
      </c>
      <c r="AL27" s="682">
        <f t="shared" si="10"/>
        <v>0</v>
      </c>
      <c r="AM27" s="682"/>
      <c r="AN27" s="661"/>
    </row>
    <row r="28" spans="1:42" x14ac:dyDescent="0.2">
      <c r="B28" s="442">
        <v>1000000</v>
      </c>
      <c r="C28" s="683">
        <f t="shared" si="19"/>
        <v>7000</v>
      </c>
      <c r="D28" s="682">
        <v>4.5</v>
      </c>
      <c r="E28" s="682">
        <f t="shared" si="20"/>
        <v>31500</v>
      </c>
      <c r="F28" s="681">
        <f t="shared" si="21"/>
        <v>40490</v>
      </c>
      <c r="G28" s="680" t="b">
        <f t="shared" si="4"/>
        <v>0</v>
      </c>
      <c r="H28" s="682">
        <f t="shared" si="5"/>
        <v>0</v>
      </c>
      <c r="I28" s="682"/>
      <c r="J28" s="658"/>
      <c r="L28" s="442">
        <v>1043000</v>
      </c>
      <c r="M28" s="683">
        <f t="shared" si="23"/>
        <v>7300</v>
      </c>
      <c r="N28" s="682">
        <v>4.5</v>
      </c>
      <c r="O28" s="682">
        <f t="shared" si="22"/>
        <v>32850</v>
      </c>
      <c r="P28" s="681">
        <f t="shared" si="12"/>
        <v>42240</v>
      </c>
      <c r="Q28" s="680" t="b">
        <f t="shared" si="6"/>
        <v>0</v>
      </c>
      <c r="R28" s="682">
        <f t="shared" si="11"/>
        <v>0</v>
      </c>
      <c r="S28" s="682"/>
      <c r="T28" s="659"/>
      <c r="V28" s="442">
        <v>1000000</v>
      </c>
      <c r="W28" s="683">
        <f t="shared" si="13"/>
        <v>7000</v>
      </c>
      <c r="X28" s="682">
        <v>4.5</v>
      </c>
      <c r="Y28" s="682">
        <f t="shared" si="14"/>
        <v>31500</v>
      </c>
      <c r="Z28" s="681">
        <f t="shared" si="15"/>
        <v>40490</v>
      </c>
      <c r="AA28" s="680" t="b">
        <f t="shared" si="7"/>
        <v>0</v>
      </c>
      <c r="AB28" s="682">
        <f t="shared" si="8"/>
        <v>0</v>
      </c>
      <c r="AC28" s="682"/>
      <c r="AD28" s="660"/>
      <c r="AF28" s="442">
        <v>1000000</v>
      </c>
      <c r="AG28" s="683">
        <f t="shared" si="16"/>
        <v>7000</v>
      </c>
      <c r="AH28" s="682">
        <v>4.5</v>
      </c>
      <c r="AI28" s="682">
        <f t="shared" si="17"/>
        <v>31500</v>
      </c>
      <c r="AJ28" s="681">
        <f t="shared" si="18"/>
        <v>40490</v>
      </c>
      <c r="AK28" s="680" t="b">
        <f t="shared" si="9"/>
        <v>0</v>
      </c>
      <c r="AL28" s="682">
        <f t="shared" si="10"/>
        <v>0</v>
      </c>
      <c r="AM28" s="682"/>
      <c r="AN28" s="661"/>
    </row>
    <row r="29" spans="1:42" x14ac:dyDescent="0.2">
      <c r="B29" s="442">
        <v>3000000</v>
      </c>
      <c r="C29" s="683">
        <f t="shared" si="19"/>
        <v>20000</v>
      </c>
      <c r="D29" s="682">
        <v>5.5</v>
      </c>
      <c r="E29" s="682">
        <f t="shared" si="20"/>
        <v>110000</v>
      </c>
      <c r="F29" s="681">
        <f t="shared" si="21"/>
        <v>150490</v>
      </c>
      <c r="G29" s="680" t="b">
        <f t="shared" si="4"/>
        <v>0</v>
      </c>
      <c r="H29" s="682">
        <f t="shared" si="5"/>
        <v>0</v>
      </c>
      <c r="I29" s="682"/>
      <c r="J29" s="658"/>
      <c r="L29" s="442">
        <v>3131000</v>
      </c>
      <c r="M29" s="683">
        <f t="shared" si="23"/>
        <v>20880</v>
      </c>
      <c r="N29" s="682">
        <v>5.5</v>
      </c>
      <c r="O29" s="682">
        <f t="shared" si="22"/>
        <v>114840</v>
      </c>
      <c r="P29" s="681">
        <f t="shared" si="12"/>
        <v>157080</v>
      </c>
      <c r="Q29" s="680" t="b">
        <f t="shared" si="6"/>
        <v>0</v>
      </c>
      <c r="R29" s="682">
        <f t="shared" si="11"/>
        <v>0</v>
      </c>
      <c r="S29" s="682"/>
      <c r="T29" s="659"/>
      <c r="V29" s="442">
        <v>3000000</v>
      </c>
      <c r="W29" s="683">
        <f t="shared" si="13"/>
        <v>20000</v>
      </c>
      <c r="X29" s="682">
        <v>5.5</v>
      </c>
      <c r="Y29" s="682">
        <f t="shared" si="14"/>
        <v>110000</v>
      </c>
      <c r="Z29" s="681">
        <f t="shared" si="15"/>
        <v>150490</v>
      </c>
      <c r="AA29" s="680" t="b">
        <f t="shared" si="7"/>
        <v>0</v>
      </c>
      <c r="AB29" s="682">
        <f t="shared" si="8"/>
        <v>0</v>
      </c>
      <c r="AC29" s="682"/>
      <c r="AD29" s="660"/>
      <c r="AF29" s="442">
        <v>3000000</v>
      </c>
      <c r="AG29" s="683">
        <f t="shared" si="16"/>
        <v>20000</v>
      </c>
      <c r="AH29" s="682">
        <v>5.5</v>
      </c>
      <c r="AI29" s="682">
        <f t="shared" si="17"/>
        <v>110000</v>
      </c>
      <c r="AJ29" s="681">
        <f t="shared" si="18"/>
        <v>150490</v>
      </c>
      <c r="AK29" s="680" t="b">
        <f t="shared" si="9"/>
        <v>0</v>
      </c>
      <c r="AL29" s="682">
        <f t="shared" si="10"/>
        <v>0</v>
      </c>
      <c r="AM29" s="682"/>
      <c r="AN29" s="661"/>
    </row>
    <row r="30" spans="1:42" x14ac:dyDescent="0.2">
      <c r="B30" s="442">
        <f>IF(B33&lt;=B29,B29+1,B33)</f>
        <v>3000001</v>
      </c>
      <c r="C30" s="683">
        <f t="shared" si="19"/>
        <v>0.01</v>
      </c>
      <c r="D30" s="682">
        <f>IF(E21=B37,7,D29)</f>
        <v>5.5</v>
      </c>
      <c r="E30" s="682">
        <f t="shared" si="20"/>
        <v>5.5E-2</v>
      </c>
      <c r="F30" s="681">
        <f t="shared" si="21"/>
        <v>150490.05499999999</v>
      </c>
      <c r="G30" s="680" t="b">
        <f>IF(B33&gt;B29,TRUE,FALSE)</f>
        <v>0</v>
      </c>
      <c r="H30" s="682">
        <f t="shared" si="5"/>
        <v>0</v>
      </c>
      <c r="I30" s="682"/>
      <c r="J30" s="658"/>
      <c r="L30" s="442">
        <f>IF(L33&lt;=L29,L29+1,L33)</f>
        <v>3131001</v>
      </c>
      <c r="M30" s="683">
        <f t="shared" si="23"/>
        <v>0.01</v>
      </c>
      <c r="N30" s="682">
        <v>7</v>
      </c>
      <c r="O30" s="682">
        <f t="shared" si="22"/>
        <v>7.0000000000000007E-2</v>
      </c>
      <c r="P30" s="681">
        <f t="shared" si="12"/>
        <v>157080.07</v>
      </c>
      <c r="Q30" s="680" t="b">
        <f>IF(L33&gt;L29,TRUE,FALSE)</f>
        <v>0</v>
      </c>
      <c r="R30" s="682">
        <f t="shared" si="11"/>
        <v>0</v>
      </c>
      <c r="S30" s="682"/>
      <c r="T30" s="659"/>
      <c r="V30" s="442">
        <f>IF(V33&lt;=V29,V29+1,V33)</f>
        <v>3000001</v>
      </c>
      <c r="W30" s="683">
        <f t="shared" si="13"/>
        <v>0.01</v>
      </c>
      <c r="X30" s="682">
        <f>IF(Y21=V37,7,X29)</f>
        <v>5.5</v>
      </c>
      <c r="Y30" s="682">
        <f t="shared" si="14"/>
        <v>5.5E-2</v>
      </c>
      <c r="Z30" s="681">
        <f t="shared" si="15"/>
        <v>150490.05499999999</v>
      </c>
      <c r="AA30" s="680" t="b">
        <f>IF(V33&gt;V29,TRUE,FALSE)</f>
        <v>0</v>
      </c>
      <c r="AB30" s="682">
        <f t="shared" si="8"/>
        <v>0</v>
      </c>
      <c r="AC30" s="682"/>
      <c r="AD30" s="660"/>
      <c r="AF30" s="442">
        <f>IF(AF33&lt;=AF29,AF29+1,AF33)</f>
        <v>3000001</v>
      </c>
      <c r="AG30" s="683">
        <f t="shared" si="16"/>
        <v>0.01</v>
      </c>
      <c r="AH30" s="682">
        <f>IF(AI21=AF37,7,AH29)</f>
        <v>5.5</v>
      </c>
      <c r="AI30" s="682">
        <f t="shared" si="17"/>
        <v>5.5E-2</v>
      </c>
      <c r="AJ30" s="681">
        <f t="shared" si="18"/>
        <v>150490.05499999999</v>
      </c>
      <c r="AK30" s="680" t="b">
        <f>IF(AF33&gt;AF29,TRUE,FALSE)</f>
        <v>0</v>
      </c>
      <c r="AL30" s="682">
        <f t="shared" si="10"/>
        <v>0</v>
      </c>
      <c r="AM30" s="682"/>
      <c r="AN30" s="661"/>
    </row>
    <row r="31" spans="1:42" x14ac:dyDescent="0.2">
      <c r="B31" s="682"/>
      <c r="J31" s="658"/>
      <c r="L31" s="682"/>
      <c r="T31" s="659"/>
      <c r="V31" s="682"/>
      <c r="AD31" s="660"/>
      <c r="AF31" s="682"/>
      <c r="AN31" s="661"/>
    </row>
    <row r="32" spans="1:42" x14ac:dyDescent="0.2">
      <c r="B32" s="185" t="s">
        <v>372</v>
      </c>
      <c r="J32" s="658"/>
      <c r="L32" s="185" t="s">
        <v>372</v>
      </c>
      <c r="T32" s="659"/>
      <c r="V32" s="185" t="s">
        <v>372</v>
      </c>
      <c r="AD32" s="660"/>
      <c r="AF32" s="185" t="s">
        <v>372</v>
      </c>
      <c r="AN32" s="661"/>
    </row>
    <row r="33" spans="1:42" x14ac:dyDescent="0.2">
      <c r="B33" s="665">
        <f>'Stamp Duty'!D7</f>
        <v>0</v>
      </c>
      <c r="E33" s="442"/>
      <c r="F33" s="442"/>
      <c r="J33" s="658"/>
      <c r="L33" s="665">
        <f>'Stamp Duty'!N7</f>
        <v>0</v>
      </c>
      <c r="O33" s="442"/>
      <c r="P33" s="442"/>
      <c r="T33" s="659"/>
      <c r="V33" s="665">
        <f>'Stamp Duty'!X7</f>
        <v>0</v>
      </c>
      <c r="Y33" s="442"/>
      <c r="Z33" s="442"/>
      <c r="AD33" s="660"/>
      <c r="AF33" s="665">
        <f>'Stamp Duty'!AH7</f>
        <v>0</v>
      </c>
      <c r="AI33" s="442"/>
      <c r="AJ33" s="442"/>
      <c r="AN33" s="661"/>
    </row>
    <row r="34" spans="1:42" x14ac:dyDescent="0.2">
      <c r="B34" s="185" t="s">
        <v>373</v>
      </c>
      <c r="E34" s="442"/>
      <c r="F34" s="442"/>
      <c r="J34" s="658"/>
      <c r="L34" s="185" t="s">
        <v>373</v>
      </c>
      <c r="O34" s="442"/>
      <c r="P34" s="442"/>
      <c r="T34" s="659"/>
      <c r="V34" s="185" t="s">
        <v>373</v>
      </c>
      <c r="Y34" s="442"/>
      <c r="Z34" s="442"/>
      <c r="AD34" s="660"/>
      <c r="AF34" s="185" t="s">
        <v>373</v>
      </c>
      <c r="AI34" s="442"/>
      <c r="AJ34" s="442"/>
      <c r="AN34" s="661"/>
    </row>
    <row r="35" spans="1:42" x14ac:dyDescent="0.2">
      <c r="B35" s="665">
        <f>'Stamp Duty'!D8</f>
        <v>0</v>
      </c>
      <c r="F35" s="442"/>
      <c r="J35" s="658"/>
      <c r="L35" s="665">
        <f>'Stamp Duty'!N8</f>
        <v>0</v>
      </c>
      <c r="P35" s="442"/>
      <c r="T35" s="659"/>
      <c r="V35" s="665">
        <f>'Stamp Duty'!X8</f>
        <v>0</v>
      </c>
      <c r="Z35" s="442"/>
      <c r="AD35" s="660"/>
      <c r="AF35" s="665">
        <f>'Stamp Duty'!AH8</f>
        <v>0</v>
      </c>
      <c r="AJ35" s="442"/>
      <c r="AN35" s="661"/>
    </row>
    <row r="36" spans="1:42" x14ac:dyDescent="0.2">
      <c r="B36" s="682">
        <f>IF(B35=0,0,IF(B35&lt;=16000,5,ROUNDUP((B35-16000)/1000,0)*4+5))</f>
        <v>0</v>
      </c>
      <c r="E36" s="682"/>
      <c r="F36" s="682"/>
      <c r="J36" s="658"/>
      <c r="L36" s="682">
        <f>IF(L35=0,0,IF(L35&lt;=16000,5,ROUNDUP((L35-16000)/1000,0)*4+5))</f>
        <v>0</v>
      </c>
      <c r="O36" s="682"/>
      <c r="P36" s="682"/>
      <c r="T36" s="659"/>
      <c r="V36" s="682">
        <f>IF(V35=0,0,IF(V35&lt;=16000,5,ROUNDUP((V35-16000)/1000,0)*4+5))</f>
        <v>0</v>
      </c>
      <c r="Y36" s="682"/>
      <c r="Z36" s="682"/>
      <c r="AD36" s="660"/>
      <c r="AF36" s="682">
        <f>IF(AF35=0,0,IF(AF35&lt;=16000,5,ROUNDUP((AF35-16000)/1000,0)*4+5))</f>
        <v>0</v>
      </c>
      <c r="AI36" s="682"/>
      <c r="AJ36" s="682"/>
      <c r="AN36" s="661"/>
    </row>
    <row r="37" spans="1:42" x14ac:dyDescent="0.2">
      <c r="B37" s="682" t="s">
        <v>374</v>
      </c>
      <c r="F37" s="682"/>
      <c r="J37" s="658"/>
      <c r="L37" s="682" t="s">
        <v>374</v>
      </c>
      <c r="O37" s="682"/>
      <c r="P37" s="682"/>
      <c r="T37" s="659"/>
      <c r="V37" s="682" t="s">
        <v>374</v>
      </c>
      <c r="Z37" s="682"/>
      <c r="AD37" s="660"/>
      <c r="AF37" s="682" t="s">
        <v>374</v>
      </c>
      <c r="AJ37" s="682"/>
      <c r="AN37" s="661"/>
    </row>
    <row r="38" spans="1:42" x14ac:dyDescent="0.2">
      <c r="B38" s="185" t="s">
        <v>369</v>
      </c>
      <c r="J38" s="658"/>
      <c r="L38" s="185" t="s">
        <v>369</v>
      </c>
      <c r="O38" s="442"/>
      <c r="P38" s="442"/>
      <c r="T38" s="659"/>
      <c r="V38" s="185" t="s">
        <v>369</v>
      </c>
      <c r="AD38" s="660"/>
      <c r="AF38" s="185" t="s">
        <v>369</v>
      </c>
      <c r="AN38" s="661"/>
    </row>
    <row r="39" spans="1:42" x14ac:dyDescent="0.2">
      <c r="A39" s="193"/>
      <c r="B39" s="193"/>
      <c r="C39" s="193"/>
      <c r="D39" s="193"/>
      <c r="E39" s="193"/>
      <c r="F39" s="193"/>
      <c r="G39" s="193"/>
      <c r="H39" s="193"/>
      <c r="I39" s="193"/>
      <c r="J39" s="675"/>
      <c r="K39" s="193"/>
      <c r="L39" s="193"/>
      <c r="M39" s="193"/>
      <c r="N39" s="193"/>
      <c r="O39" s="685"/>
      <c r="P39" s="193"/>
      <c r="Q39" s="193"/>
      <c r="R39" s="193"/>
      <c r="S39" s="193"/>
      <c r="T39" s="676"/>
      <c r="U39" s="193"/>
      <c r="V39" s="193"/>
      <c r="W39" s="193"/>
      <c r="X39" s="193"/>
      <c r="Y39" s="193"/>
      <c r="Z39" s="193"/>
      <c r="AA39" s="193"/>
      <c r="AB39" s="193"/>
      <c r="AC39" s="193"/>
      <c r="AD39" s="677"/>
      <c r="AE39" s="193"/>
      <c r="AF39" s="193"/>
      <c r="AG39" s="193"/>
      <c r="AH39" s="193"/>
      <c r="AI39" s="193"/>
      <c r="AJ39" s="193"/>
      <c r="AK39" s="193"/>
      <c r="AL39" s="193"/>
      <c r="AM39" s="193"/>
      <c r="AN39" s="678"/>
    </row>
    <row r="40" spans="1:42" x14ac:dyDescent="0.2">
      <c r="J40" s="658"/>
      <c r="T40" s="659"/>
      <c r="AD40" s="660"/>
      <c r="AN40" s="661"/>
      <c r="AP40" s="308" t="s">
        <v>375</v>
      </c>
    </row>
    <row r="41" spans="1:42" ht="15.75" x14ac:dyDescent="0.25">
      <c r="B41" s="679" t="s">
        <v>310</v>
      </c>
      <c r="D41" s="185" t="s">
        <v>368</v>
      </c>
      <c r="E41" s="662" t="s">
        <v>369</v>
      </c>
      <c r="H41" s="680" t="s">
        <v>370</v>
      </c>
      <c r="I41" s="680" t="s">
        <v>371</v>
      </c>
      <c r="J41" s="658"/>
      <c r="L41" s="679" t="s">
        <v>310</v>
      </c>
      <c r="N41" s="185" t="s">
        <v>368</v>
      </c>
      <c r="O41" s="662" t="s">
        <v>369</v>
      </c>
      <c r="R41" s="680" t="s">
        <v>370</v>
      </c>
      <c r="S41" s="680" t="s">
        <v>371</v>
      </c>
      <c r="T41" s="659"/>
      <c r="V41" s="679" t="s">
        <v>310</v>
      </c>
      <c r="X41" s="185" t="s">
        <v>368</v>
      </c>
      <c r="Y41" s="662" t="s">
        <v>369</v>
      </c>
      <c r="AB41" s="680" t="s">
        <v>370</v>
      </c>
      <c r="AC41" s="680" t="s">
        <v>371</v>
      </c>
      <c r="AD41" s="660"/>
      <c r="AF41" s="679" t="s">
        <v>310</v>
      </c>
      <c r="AH41" s="185" t="s">
        <v>368</v>
      </c>
      <c r="AI41" s="662" t="s">
        <v>369</v>
      </c>
      <c r="AL41" s="680" t="s">
        <v>370</v>
      </c>
      <c r="AM41" s="680" t="s">
        <v>371</v>
      </c>
      <c r="AN41" s="661"/>
    </row>
    <row r="42" spans="1:42" x14ac:dyDescent="0.2">
      <c r="B42" s="442"/>
      <c r="C42" s="653"/>
      <c r="H42" s="681">
        <f>SUM(H43:H50)</f>
        <v>0</v>
      </c>
      <c r="I42" s="686">
        <v>0</v>
      </c>
      <c r="J42" s="658"/>
      <c r="L42" s="442"/>
      <c r="R42" s="681">
        <f>SUM(R43:R50)</f>
        <v>0</v>
      </c>
      <c r="S42" s="681">
        <f>L56</f>
        <v>0</v>
      </c>
      <c r="T42" s="659"/>
      <c r="V42" s="442"/>
      <c r="AB42" s="681">
        <f>SUM(AB43:AB50)</f>
        <v>0</v>
      </c>
      <c r="AC42" s="681">
        <f>V56</f>
        <v>0</v>
      </c>
      <c r="AD42" s="660"/>
      <c r="AF42" s="442"/>
      <c r="AL42" s="681">
        <f>SUM(AL43:AL50)</f>
        <v>0</v>
      </c>
      <c r="AM42" s="681">
        <f>AF56</f>
        <v>0</v>
      </c>
      <c r="AN42" s="661"/>
    </row>
    <row r="43" spans="1:42" x14ac:dyDescent="0.2">
      <c r="B43" s="442">
        <v>0</v>
      </c>
      <c r="D43" s="682">
        <v>1.5</v>
      </c>
      <c r="E43" s="682">
        <v>0</v>
      </c>
      <c r="F43" s="681">
        <f>E43</f>
        <v>0</v>
      </c>
      <c r="G43" s="680" t="b">
        <f t="shared" ref="G43:G49" si="24">AND(B$53&gt;=B43,B$53&lt;B44)</f>
        <v>1</v>
      </c>
      <c r="H43" s="682">
        <f t="shared" ref="H43:H50" si="25">IF(G43=TRUE,(B$53-B43)/100*D44+F43,0)</f>
        <v>0</v>
      </c>
      <c r="I43" s="682"/>
      <c r="J43" s="658"/>
      <c r="L43" s="687">
        <v>5000</v>
      </c>
      <c r="N43" s="688">
        <v>1.5</v>
      </c>
      <c r="O43" s="682">
        <v>0</v>
      </c>
      <c r="P43" s="681">
        <f>O43</f>
        <v>0</v>
      </c>
      <c r="Q43" s="680" t="b">
        <f t="shared" ref="Q43:Q49" si="26">AND(L$53&gt;=L43,L$53&lt;L44)</f>
        <v>0</v>
      </c>
      <c r="R43" s="682">
        <f t="shared" ref="R43:R50" si="27">IF(Q43=TRUE,(L$53-L43)/100*N44+P43,0)</f>
        <v>0</v>
      </c>
      <c r="S43" s="682"/>
      <c r="T43" s="659"/>
      <c r="V43" s="442">
        <f>L43</f>
        <v>5000</v>
      </c>
      <c r="X43" s="682">
        <f>N43</f>
        <v>1.5</v>
      </c>
      <c r="Y43" s="682">
        <v>0</v>
      </c>
      <c r="Z43" s="681">
        <f>Y43</f>
        <v>0</v>
      </c>
      <c r="AA43" s="680" t="b">
        <f t="shared" ref="AA43:AA49" si="28">AND(V$53&gt;=V43,V$53&lt;V44)</f>
        <v>0</v>
      </c>
      <c r="AB43" s="682">
        <f t="shared" ref="AB43:AB50" si="29">IF(AA43=TRUE,(V$53-V43)/100*X44+Z43,0)</f>
        <v>0</v>
      </c>
      <c r="AC43" s="682"/>
      <c r="AD43" s="660"/>
      <c r="AF43" s="442">
        <f>V43</f>
        <v>5000</v>
      </c>
      <c r="AH43" s="682">
        <f>X43</f>
        <v>1.5</v>
      </c>
      <c r="AI43" s="682">
        <v>0</v>
      </c>
      <c r="AJ43" s="681">
        <f>AI43</f>
        <v>0</v>
      </c>
      <c r="AK43" s="680" t="b">
        <f t="shared" ref="AK43:AK49" si="30">AND(AF$53&gt;=AF43,AF$53&lt;AF44)</f>
        <v>0</v>
      </c>
      <c r="AL43" s="682">
        <f t="shared" ref="AL43:AL50" si="31">IF(AK43=TRUE,(AF$53-AF43)/100*AH44+AJ43,0)</f>
        <v>0</v>
      </c>
      <c r="AM43" s="682"/>
      <c r="AN43" s="661"/>
    </row>
    <row r="44" spans="1:42" x14ac:dyDescent="0.2">
      <c r="B44" s="442">
        <v>20000</v>
      </c>
      <c r="C44" s="683">
        <f>B44/100</f>
        <v>200</v>
      </c>
      <c r="D44" s="682">
        <v>1.5</v>
      </c>
      <c r="E44" s="682">
        <f>D44*C44</f>
        <v>300</v>
      </c>
      <c r="F44" s="681">
        <f>E44</f>
        <v>300</v>
      </c>
      <c r="G44" s="680" t="b">
        <f t="shared" si="24"/>
        <v>0</v>
      </c>
      <c r="H44" s="682">
        <f t="shared" si="25"/>
        <v>0</v>
      </c>
      <c r="I44" s="682"/>
      <c r="J44" s="658"/>
      <c r="L44" s="687">
        <v>75000</v>
      </c>
      <c r="M44" s="683">
        <f>(L44-L$43)/100</f>
        <v>700</v>
      </c>
      <c r="N44" s="688">
        <v>1.5</v>
      </c>
      <c r="O44" s="682">
        <f>N44*M44</f>
        <v>1050</v>
      </c>
      <c r="P44" s="681">
        <f>O44</f>
        <v>1050</v>
      </c>
      <c r="Q44" s="680" t="b">
        <f t="shared" si="26"/>
        <v>0</v>
      </c>
      <c r="R44" s="682">
        <f t="shared" si="27"/>
        <v>0</v>
      </c>
      <c r="S44" s="682"/>
      <c r="T44" s="659"/>
      <c r="V44" s="442">
        <f t="shared" ref="V44:V50" si="32">L44</f>
        <v>75000</v>
      </c>
      <c r="W44" s="683">
        <f>V44/100</f>
        <v>750</v>
      </c>
      <c r="X44" s="682">
        <f t="shared" ref="X44:X50" si="33">N44</f>
        <v>1.5</v>
      </c>
      <c r="Y44" s="682">
        <f>X44*W44</f>
        <v>1125</v>
      </c>
      <c r="Z44" s="681">
        <f>Y44</f>
        <v>1125</v>
      </c>
      <c r="AA44" s="680" t="b">
        <f t="shared" si="28"/>
        <v>0</v>
      </c>
      <c r="AB44" s="682">
        <f t="shared" si="29"/>
        <v>0</v>
      </c>
      <c r="AC44" s="682"/>
      <c r="AD44" s="660"/>
      <c r="AF44" s="442">
        <f t="shared" ref="AF44:AF50" si="34">V44</f>
        <v>75000</v>
      </c>
      <c r="AG44" s="683">
        <f>AF44/100</f>
        <v>750</v>
      </c>
      <c r="AH44" s="682">
        <f t="shared" ref="AH44:AH50" si="35">X44</f>
        <v>1.5</v>
      </c>
      <c r="AI44" s="682">
        <f>AH44*AG44</f>
        <v>1125</v>
      </c>
      <c r="AJ44" s="681">
        <f>AI44</f>
        <v>1125</v>
      </c>
      <c r="AK44" s="680" t="b">
        <f t="shared" si="30"/>
        <v>0</v>
      </c>
      <c r="AL44" s="682">
        <f t="shared" si="31"/>
        <v>0</v>
      </c>
      <c r="AM44" s="682"/>
      <c r="AN44" s="661"/>
    </row>
    <row r="45" spans="1:42" x14ac:dyDescent="0.2">
      <c r="B45" s="442">
        <v>50000</v>
      </c>
      <c r="C45" s="683">
        <f t="shared" ref="C45:C50" si="36">(B45-B44)/100</f>
        <v>300</v>
      </c>
      <c r="D45" s="682">
        <v>2.25</v>
      </c>
      <c r="E45" s="682">
        <f t="shared" ref="E45:E50" si="37">C45*D45</f>
        <v>675</v>
      </c>
      <c r="F45" s="681">
        <f t="shared" ref="F45:F50" si="38">E45+F44</f>
        <v>975</v>
      </c>
      <c r="G45" s="680" t="b">
        <f t="shared" si="24"/>
        <v>0</v>
      </c>
      <c r="H45" s="682">
        <f t="shared" si="25"/>
        <v>0</v>
      </c>
      <c r="I45" s="682"/>
      <c r="J45" s="658"/>
      <c r="L45" s="687">
        <v>540000</v>
      </c>
      <c r="M45" s="683">
        <f t="shared" ref="M45:M50" si="39">(L45-L44)/100</f>
        <v>4650</v>
      </c>
      <c r="N45" s="688">
        <v>3.5</v>
      </c>
      <c r="O45" s="682">
        <f>M45*N45</f>
        <v>16275</v>
      </c>
      <c r="P45" s="681">
        <f>O45+P44</f>
        <v>17325</v>
      </c>
      <c r="Q45" s="680" t="b">
        <f t="shared" si="26"/>
        <v>0</v>
      </c>
      <c r="R45" s="682">
        <f t="shared" si="27"/>
        <v>0</v>
      </c>
      <c r="S45" s="682"/>
      <c r="T45" s="659"/>
      <c r="V45" s="442">
        <f t="shared" si="32"/>
        <v>540000</v>
      </c>
      <c r="W45" s="683">
        <f t="shared" ref="W45:W50" si="40">(V45-V44)/100</f>
        <v>4650</v>
      </c>
      <c r="X45" s="682">
        <f t="shared" si="33"/>
        <v>3.5</v>
      </c>
      <c r="Y45" s="682">
        <f t="shared" ref="Y45:Y50" si="41">W45*X45</f>
        <v>16275</v>
      </c>
      <c r="Z45" s="681">
        <f t="shared" ref="Z45:Z50" si="42">Y45+Z44</f>
        <v>17400</v>
      </c>
      <c r="AA45" s="680" t="b">
        <f t="shared" si="28"/>
        <v>0</v>
      </c>
      <c r="AB45" s="682">
        <f t="shared" si="29"/>
        <v>0</v>
      </c>
      <c r="AC45" s="682"/>
      <c r="AD45" s="660"/>
      <c r="AF45" s="442">
        <f t="shared" si="34"/>
        <v>540000</v>
      </c>
      <c r="AG45" s="683">
        <f t="shared" ref="AG45:AG50" si="43">(AF45-AF44)/100</f>
        <v>4650</v>
      </c>
      <c r="AH45" s="682">
        <f t="shared" si="35"/>
        <v>3.5</v>
      </c>
      <c r="AI45" s="682">
        <f t="shared" ref="AI45:AI50" si="44">AG45*AH45</f>
        <v>16275</v>
      </c>
      <c r="AJ45" s="681">
        <f t="shared" ref="AJ45:AJ50" si="45">AI45+AJ44</f>
        <v>17400</v>
      </c>
      <c r="AK45" s="680" t="b">
        <f t="shared" si="30"/>
        <v>0</v>
      </c>
      <c r="AL45" s="682">
        <f t="shared" si="31"/>
        <v>0</v>
      </c>
      <c r="AM45" s="682"/>
      <c r="AN45" s="661"/>
    </row>
    <row r="46" spans="1:42" x14ac:dyDescent="0.2">
      <c r="B46" s="442">
        <v>100000</v>
      </c>
      <c r="C46" s="683">
        <f t="shared" si="36"/>
        <v>500</v>
      </c>
      <c r="D46" s="682">
        <v>2.75</v>
      </c>
      <c r="E46" s="682">
        <f t="shared" si="37"/>
        <v>1375</v>
      </c>
      <c r="F46" s="681">
        <f t="shared" si="38"/>
        <v>2350</v>
      </c>
      <c r="G46" s="680" t="b">
        <f t="shared" si="24"/>
        <v>0</v>
      </c>
      <c r="H46" s="682">
        <f t="shared" si="25"/>
        <v>0</v>
      </c>
      <c r="I46" s="682"/>
      <c r="J46" s="658"/>
      <c r="L46" s="687">
        <v>1000000</v>
      </c>
      <c r="M46" s="683">
        <f t="shared" si="39"/>
        <v>4600</v>
      </c>
      <c r="N46" s="688">
        <v>4.5</v>
      </c>
      <c r="O46" s="682">
        <f>M46*N46</f>
        <v>20700</v>
      </c>
      <c r="P46" s="681">
        <f>O46+P45</f>
        <v>38025</v>
      </c>
      <c r="Q46" s="680" t="b">
        <f t="shared" si="26"/>
        <v>0</v>
      </c>
      <c r="R46" s="682">
        <f t="shared" si="27"/>
        <v>0</v>
      </c>
      <c r="S46" s="682"/>
      <c r="T46" s="659"/>
      <c r="V46" s="442">
        <f t="shared" si="32"/>
        <v>1000000</v>
      </c>
      <c r="W46" s="683">
        <f t="shared" si="40"/>
        <v>4600</v>
      </c>
      <c r="X46" s="682">
        <f t="shared" si="33"/>
        <v>4.5</v>
      </c>
      <c r="Y46" s="682">
        <f t="shared" si="41"/>
        <v>20700</v>
      </c>
      <c r="Z46" s="681">
        <f t="shared" si="42"/>
        <v>38100</v>
      </c>
      <c r="AA46" s="680" t="b">
        <f t="shared" si="28"/>
        <v>0</v>
      </c>
      <c r="AB46" s="682">
        <f t="shared" si="29"/>
        <v>0</v>
      </c>
      <c r="AC46" s="682"/>
      <c r="AD46" s="660"/>
      <c r="AF46" s="442">
        <f t="shared" si="34"/>
        <v>1000000</v>
      </c>
      <c r="AG46" s="683">
        <f t="shared" si="43"/>
        <v>4600</v>
      </c>
      <c r="AH46" s="682">
        <f t="shared" si="35"/>
        <v>4.5</v>
      </c>
      <c r="AI46" s="682">
        <f t="shared" si="44"/>
        <v>20700</v>
      </c>
      <c r="AJ46" s="681">
        <f t="shared" si="45"/>
        <v>38100</v>
      </c>
      <c r="AK46" s="680" t="b">
        <f t="shared" si="30"/>
        <v>0</v>
      </c>
      <c r="AL46" s="682">
        <f t="shared" si="31"/>
        <v>0</v>
      </c>
      <c r="AM46" s="682"/>
      <c r="AN46" s="661"/>
    </row>
    <row r="47" spans="1:42" x14ac:dyDescent="0.2">
      <c r="B47" s="442">
        <v>250000</v>
      </c>
      <c r="C47" s="683">
        <f t="shared" si="36"/>
        <v>1500</v>
      </c>
      <c r="D47" s="682">
        <v>3.25</v>
      </c>
      <c r="E47" s="682">
        <f t="shared" si="37"/>
        <v>4875</v>
      </c>
      <c r="F47" s="681">
        <f t="shared" si="38"/>
        <v>7225</v>
      </c>
      <c r="G47" s="680" t="b">
        <f t="shared" si="24"/>
        <v>0</v>
      </c>
      <c r="H47" s="682">
        <f t="shared" si="25"/>
        <v>0</v>
      </c>
      <c r="I47" s="682"/>
      <c r="J47" s="658"/>
      <c r="L47" s="687">
        <f>L46</f>
        <v>1000000</v>
      </c>
      <c r="M47" s="683">
        <f t="shared" si="39"/>
        <v>0</v>
      </c>
      <c r="N47" s="688">
        <f>N46</f>
        <v>4.5</v>
      </c>
      <c r="O47" s="682">
        <f t="shared" ref="O47:O50" si="46">M47*N47</f>
        <v>0</v>
      </c>
      <c r="P47" s="681">
        <f t="shared" ref="P47:P50" si="47">O47+P46</f>
        <v>38025</v>
      </c>
      <c r="Q47" s="680" t="b">
        <f t="shared" si="26"/>
        <v>0</v>
      </c>
      <c r="R47" s="682">
        <f t="shared" si="27"/>
        <v>0</v>
      </c>
      <c r="S47" s="682"/>
      <c r="T47" s="659"/>
      <c r="V47" s="442">
        <f t="shared" si="32"/>
        <v>1000000</v>
      </c>
      <c r="W47" s="683">
        <f t="shared" si="40"/>
        <v>0</v>
      </c>
      <c r="X47" s="682">
        <f t="shared" si="33"/>
        <v>4.5</v>
      </c>
      <c r="Y47" s="682">
        <f t="shared" si="41"/>
        <v>0</v>
      </c>
      <c r="Z47" s="681">
        <f t="shared" si="42"/>
        <v>38100</v>
      </c>
      <c r="AA47" s="680" t="b">
        <f t="shared" si="28"/>
        <v>0</v>
      </c>
      <c r="AB47" s="682">
        <f t="shared" si="29"/>
        <v>0</v>
      </c>
      <c r="AC47" s="682"/>
      <c r="AD47" s="660"/>
      <c r="AF47" s="442">
        <f t="shared" si="34"/>
        <v>1000000</v>
      </c>
      <c r="AG47" s="683">
        <f t="shared" si="43"/>
        <v>0</v>
      </c>
      <c r="AH47" s="682">
        <f t="shared" si="35"/>
        <v>4.5</v>
      </c>
      <c r="AI47" s="682">
        <f t="shared" si="44"/>
        <v>0</v>
      </c>
      <c r="AJ47" s="681">
        <f t="shared" si="45"/>
        <v>38100</v>
      </c>
      <c r="AK47" s="680" t="b">
        <f t="shared" si="30"/>
        <v>0</v>
      </c>
      <c r="AL47" s="682">
        <f t="shared" si="31"/>
        <v>0</v>
      </c>
      <c r="AM47" s="682"/>
      <c r="AN47" s="661"/>
    </row>
    <row r="48" spans="1:42" x14ac:dyDescent="0.2">
      <c r="B48" s="442">
        <v>500000</v>
      </c>
      <c r="C48" s="683">
        <f t="shared" si="36"/>
        <v>2500</v>
      </c>
      <c r="D48" s="682">
        <v>3.5</v>
      </c>
      <c r="E48" s="682">
        <f t="shared" si="37"/>
        <v>8750</v>
      </c>
      <c r="F48" s="681">
        <f t="shared" si="38"/>
        <v>15975</v>
      </c>
      <c r="G48" s="680" t="b">
        <f t="shared" si="24"/>
        <v>0</v>
      </c>
      <c r="H48" s="682">
        <f t="shared" si="25"/>
        <v>0</v>
      </c>
      <c r="I48" s="682"/>
      <c r="J48" s="658"/>
      <c r="L48" s="687">
        <f>L47</f>
        <v>1000000</v>
      </c>
      <c r="M48" s="683">
        <f t="shared" si="39"/>
        <v>0</v>
      </c>
      <c r="N48" s="688">
        <f>N47</f>
        <v>4.5</v>
      </c>
      <c r="O48" s="682">
        <f t="shared" si="46"/>
        <v>0</v>
      </c>
      <c r="P48" s="681">
        <f t="shared" si="47"/>
        <v>38025</v>
      </c>
      <c r="Q48" s="680" t="b">
        <f t="shared" si="26"/>
        <v>0</v>
      </c>
      <c r="R48" s="682">
        <f t="shared" si="27"/>
        <v>0</v>
      </c>
      <c r="S48" s="682"/>
      <c r="T48" s="659"/>
      <c r="V48" s="442">
        <f t="shared" si="32"/>
        <v>1000000</v>
      </c>
      <c r="W48" s="683">
        <f t="shared" si="40"/>
        <v>0</v>
      </c>
      <c r="X48" s="682">
        <f t="shared" si="33"/>
        <v>4.5</v>
      </c>
      <c r="Y48" s="682">
        <f t="shared" si="41"/>
        <v>0</v>
      </c>
      <c r="Z48" s="681">
        <f t="shared" si="42"/>
        <v>38100</v>
      </c>
      <c r="AA48" s="680" t="b">
        <f t="shared" si="28"/>
        <v>0</v>
      </c>
      <c r="AB48" s="682">
        <f t="shared" si="29"/>
        <v>0</v>
      </c>
      <c r="AC48" s="682"/>
      <c r="AD48" s="660"/>
      <c r="AF48" s="442">
        <f t="shared" si="34"/>
        <v>1000000</v>
      </c>
      <c r="AG48" s="683">
        <f t="shared" si="43"/>
        <v>0</v>
      </c>
      <c r="AH48" s="682">
        <f t="shared" si="35"/>
        <v>4.5</v>
      </c>
      <c r="AI48" s="682">
        <f t="shared" si="44"/>
        <v>0</v>
      </c>
      <c r="AJ48" s="681">
        <f t="shared" si="45"/>
        <v>38100</v>
      </c>
      <c r="AK48" s="680" t="b">
        <f t="shared" si="30"/>
        <v>0</v>
      </c>
      <c r="AL48" s="682">
        <f t="shared" si="31"/>
        <v>0</v>
      </c>
      <c r="AM48" s="682"/>
      <c r="AN48" s="661"/>
    </row>
    <row r="49" spans="1:46" x14ac:dyDescent="0.2">
      <c r="B49" s="442">
        <v>700000</v>
      </c>
      <c r="C49" s="683">
        <f t="shared" si="36"/>
        <v>2000</v>
      </c>
      <c r="D49" s="682">
        <v>4</v>
      </c>
      <c r="E49" s="682">
        <f t="shared" si="37"/>
        <v>8000</v>
      </c>
      <c r="F49" s="681">
        <f t="shared" si="38"/>
        <v>23975</v>
      </c>
      <c r="G49" s="680" t="b">
        <f t="shared" si="24"/>
        <v>0</v>
      </c>
      <c r="H49" s="682">
        <f t="shared" si="25"/>
        <v>0</v>
      </c>
      <c r="I49" s="682"/>
      <c r="J49" s="658"/>
      <c r="L49" s="687">
        <f>L48</f>
        <v>1000000</v>
      </c>
      <c r="M49" s="683">
        <f t="shared" si="39"/>
        <v>0</v>
      </c>
      <c r="N49" s="688">
        <f>N48</f>
        <v>4.5</v>
      </c>
      <c r="O49" s="682">
        <f t="shared" si="46"/>
        <v>0</v>
      </c>
      <c r="P49" s="681">
        <f t="shared" si="47"/>
        <v>38025</v>
      </c>
      <c r="Q49" s="680" t="b">
        <f t="shared" si="26"/>
        <v>0</v>
      </c>
      <c r="R49" s="682">
        <f t="shared" si="27"/>
        <v>0</v>
      </c>
      <c r="S49" s="682"/>
      <c r="T49" s="659"/>
      <c r="V49" s="442">
        <f t="shared" si="32"/>
        <v>1000000</v>
      </c>
      <c r="W49" s="683">
        <f t="shared" si="40"/>
        <v>0</v>
      </c>
      <c r="X49" s="682">
        <f t="shared" si="33"/>
        <v>4.5</v>
      </c>
      <c r="Y49" s="682">
        <f t="shared" si="41"/>
        <v>0</v>
      </c>
      <c r="Z49" s="681">
        <f t="shared" si="42"/>
        <v>38100</v>
      </c>
      <c r="AA49" s="680" t="b">
        <f t="shared" si="28"/>
        <v>0</v>
      </c>
      <c r="AB49" s="682">
        <f t="shared" si="29"/>
        <v>0</v>
      </c>
      <c r="AC49" s="682"/>
      <c r="AD49" s="660"/>
      <c r="AF49" s="442">
        <f t="shared" si="34"/>
        <v>1000000</v>
      </c>
      <c r="AG49" s="683">
        <f t="shared" si="43"/>
        <v>0</v>
      </c>
      <c r="AH49" s="682">
        <f t="shared" si="35"/>
        <v>4.5</v>
      </c>
      <c r="AI49" s="682">
        <f t="shared" si="44"/>
        <v>0</v>
      </c>
      <c r="AJ49" s="681">
        <f t="shared" si="45"/>
        <v>38100</v>
      </c>
      <c r="AK49" s="680" t="b">
        <f t="shared" si="30"/>
        <v>0</v>
      </c>
      <c r="AL49" s="682">
        <f t="shared" si="31"/>
        <v>0</v>
      </c>
      <c r="AM49" s="682"/>
      <c r="AN49" s="661"/>
    </row>
    <row r="50" spans="1:46" x14ac:dyDescent="0.2">
      <c r="B50" s="442">
        <f>IF(B53&lt;=B49,B49+1,B53)</f>
        <v>700001</v>
      </c>
      <c r="C50" s="683">
        <f t="shared" si="36"/>
        <v>0.01</v>
      </c>
      <c r="D50" s="682">
        <v>4.5</v>
      </c>
      <c r="E50" s="682">
        <f t="shared" si="37"/>
        <v>4.4999999999999998E-2</v>
      </c>
      <c r="F50" s="681">
        <f t="shared" si="38"/>
        <v>23975.044999999998</v>
      </c>
      <c r="G50" s="680" t="b">
        <f>IF(B53&gt;B49,TRUE,FALSE)</f>
        <v>0</v>
      </c>
      <c r="H50" s="682">
        <f t="shared" si="25"/>
        <v>0</v>
      </c>
      <c r="I50" s="682"/>
      <c r="J50" s="658"/>
      <c r="L50" s="687">
        <f>IF(L53&lt;=L49,L49+1,L53)</f>
        <v>1000001</v>
      </c>
      <c r="M50" s="683">
        <f t="shared" si="39"/>
        <v>0.01</v>
      </c>
      <c r="N50" s="688">
        <v>5.75</v>
      </c>
      <c r="O50" s="682">
        <f t="shared" si="46"/>
        <v>5.7500000000000002E-2</v>
      </c>
      <c r="P50" s="681">
        <f t="shared" si="47"/>
        <v>38025.057500000003</v>
      </c>
      <c r="Q50" s="680" t="b">
        <f>IF(L53&gt;L49,TRUE,FALSE)</f>
        <v>0</v>
      </c>
      <c r="R50" s="682">
        <f t="shared" si="27"/>
        <v>0</v>
      </c>
      <c r="S50" s="682"/>
      <c r="T50" s="659"/>
      <c r="V50" s="442">
        <f t="shared" si="32"/>
        <v>1000001</v>
      </c>
      <c r="W50" s="683">
        <f t="shared" si="40"/>
        <v>0.01</v>
      </c>
      <c r="X50" s="682">
        <f t="shared" si="33"/>
        <v>5.75</v>
      </c>
      <c r="Y50" s="682">
        <f t="shared" si="41"/>
        <v>5.7500000000000002E-2</v>
      </c>
      <c r="Z50" s="681">
        <f t="shared" si="42"/>
        <v>38100.057500000003</v>
      </c>
      <c r="AA50" s="680" t="b">
        <f>IF(V53&gt;V49,TRUE,FALSE)</f>
        <v>0</v>
      </c>
      <c r="AB50" s="682">
        <f t="shared" si="29"/>
        <v>0</v>
      </c>
      <c r="AC50" s="682"/>
      <c r="AD50" s="660"/>
      <c r="AF50" s="442">
        <f t="shared" si="34"/>
        <v>1000001</v>
      </c>
      <c r="AG50" s="683">
        <f t="shared" si="43"/>
        <v>0.01</v>
      </c>
      <c r="AH50" s="682">
        <f t="shared" si="35"/>
        <v>5.75</v>
      </c>
      <c r="AI50" s="682">
        <f t="shared" si="44"/>
        <v>5.7500000000000002E-2</v>
      </c>
      <c r="AJ50" s="681">
        <f t="shared" si="45"/>
        <v>38100.057500000003</v>
      </c>
      <c r="AK50" s="680" t="b">
        <f>IF(AF53&gt;AF49,TRUE,FALSE)</f>
        <v>0</v>
      </c>
      <c r="AL50" s="682">
        <f t="shared" si="31"/>
        <v>0</v>
      </c>
      <c r="AM50" s="682"/>
      <c r="AN50" s="661"/>
    </row>
    <row r="51" spans="1:46" x14ac:dyDescent="0.2">
      <c r="B51" s="682"/>
      <c r="J51" s="658"/>
      <c r="L51" s="682"/>
      <c r="T51" s="659"/>
      <c r="V51" s="682"/>
      <c r="AD51" s="660"/>
      <c r="AF51" s="682"/>
      <c r="AN51" s="661"/>
    </row>
    <row r="52" spans="1:46" x14ac:dyDescent="0.2">
      <c r="B52" s="185" t="s">
        <v>372</v>
      </c>
      <c r="J52" s="658"/>
      <c r="L52" s="185" t="s">
        <v>372</v>
      </c>
      <c r="T52" s="659"/>
      <c r="V52" s="185" t="s">
        <v>372</v>
      </c>
      <c r="AD52" s="660"/>
      <c r="AF52" s="185" t="s">
        <v>372</v>
      </c>
      <c r="AN52" s="661"/>
    </row>
    <row r="53" spans="1:46" x14ac:dyDescent="0.2">
      <c r="B53" s="665">
        <f>'Stamp Duty'!D7</f>
        <v>0</v>
      </c>
      <c r="E53" s="442"/>
      <c r="F53" s="442"/>
      <c r="J53" s="658"/>
      <c r="L53" s="665">
        <f>'Stamp Duty'!N7</f>
        <v>0</v>
      </c>
      <c r="O53" s="442"/>
      <c r="P53" s="442"/>
      <c r="T53" s="659"/>
      <c r="V53" s="665">
        <f>'Stamp Duty'!X7</f>
        <v>0</v>
      </c>
      <c r="Y53" s="442"/>
      <c r="Z53" s="442"/>
      <c r="AD53" s="660"/>
      <c r="AF53" s="665">
        <f>'Stamp Duty'!AH7</f>
        <v>0</v>
      </c>
      <c r="AI53" s="442"/>
      <c r="AJ53" s="442"/>
      <c r="AN53" s="661"/>
    </row>
    <row r="54" spans="1:46" x14ac:dyDescent="0.2">
      <c r="B54" s="185" t="s">
        <v>373</v>
      </c>
      <c r="E54" s="442"/>
      <c r="F54" s="442"/>
      <c r="J54" s="658"/>
      <c r="L54" s="185" t="s">
        <v>373</v>
      </c>
      <c r="O54" s="442"/>
      <c r="P54" s="442"/>
      <c r="T54" s="659"/>
      <c r="V54" s="185" t="s">
        <v>373</v>
      </c>
      <c r="Y54" s="442"/>
      <c r="Z54" s="442"/>
      <c r="AD54" s="660"/>
      <c r="AF54" s="185" t="s">
        <v>373</v>
      </c>
      <c r="AI54" s="442"/>
      <c r="AJ54" s="442"/>
      <c r="AN54" s="661"/>
      <c r="AS54" s="442"/>
      <c r="AT54" s="442"/>
    </row>
    <row r="55" spans="1:46" x14ac:dyDescent="0.2">
      <c r="B55" s="665">
        <f>'Stamp Duty'!D8</f>
        <v>0</v>
      </c>
      <c r="F55" s="442"/>
      <c r="J55" s="658"/>
      <c r="L55" s="665">
        <f>'Stamp Duty'!N8</f>
        <v>0</v>
      </c>
      <c r="P55" s="442"/>
      <c r="T55" s="659"/>
      <c r="V55" s="665">
        <f>'Stamp Duty'!X8</f>
        <v>0</v>
      </c>
      <c r="Z55" s="442"/>
      <c r="AD55" s="660"/>
      <c r="AF55" s="665">
        <f>'Stamp Duty'!AH8</f>
        <v>0</v>
      </c>
      <c r="AJ55" s="442"/>
      <c r="AN55" s="661"/>
      <c r="AT55" s="442"/>
    </row>
    <row r="56" spans="1:46" x14ac:dyDescent="0.2">
      <c r="B56" s="682">
        <f>IF(B55=0,0,B55/100*0.4)</f>
        <v>0</v>
      </c>
      <c r="E56" s="682"/>
      <c r="F56" s="682"/>
      <c r="J56" s="658"/>
      <c r="L56" s="682">
        <f>IF(L55=0,0,L55/100*0.4)</f>
        <v>0</v>
      </c>
      <c r="O56" s="682"/>
      <c r="P56" s="682"/>
      <c r="T56" s="659"/>
      <c r="V56" s="682">
        <f>IF(V55=0,0,V55/100*0.4)</f>
        <v>0</v>
      </c>
      <c r="Y56" s="682"/>
      <c r="Z56" s="682"/>
      <c r="AD56" s="660"/>
      <c r="AF56" s="682">
        <f>IF(AF55=0,0,AF55/100*0.4)</f>
        <v>0</v>
      </c>
      <c r="AI56" s="682"/>
      <c r="AJ56" s="682"/>
      <c r="AN56" s="661"/>
      <c r="AS56" s="682"/>
      <c r="AT56" s="682"/>
    </row>
    <row r="57" spans="1:46" x14ac:dyDescent="0.2">
      <c r="B57" s="682" t="s">
        <v>374</v>
      </c>
      <c r="F57" s="682"/>
      <c r="J57" s="658"/>
      <c r="L57" s="682" t="s">
        <v>374</v>
      </c>
      <c r="P57" s="682"/>
      <c r="T57" s="659"/>
      <c r="V57" s="682" t="s">
        <v>374</v>
      </c>
      <c r="Z57" s="682"/>
      <c r="AD57" s="660"/>
      <c r="AF57" s="682" t="s">
        <v>374</v>
      </c>
      <c r="AJ57" s="682"/>
      <c r="AN57" s="661"/>
      <c r="AT57" s="682"/>
    </row>
    <row r="58" spans="1:46" x14ac:dyDescent="0.2">
      <c r="B58" s="185" t="s">
        <v>369</v>
      </c>
      <c r="J58" s="658"/>
      <c r="L58" s="185" t="s">
        <v>369</v>
      </c>
      <c r="T58" s="659"/>
      <c r="V58" s="185" t="s">
        <v>369</v>
      </c>
      <c r="AD58" s="660"/>
      <c r="AF58" s="185" t="s">
        <v>369</v>
      </c>
      <c r="AN58" s="661"/>
    </row>
    <row r="59" spans="1:46" x14ac:dyDescent="0.2">
      <c r="A59" s="193"/>
      <c r="B59" s="193"/>
      <c r="C59" s="193"/>
      <c r="D59" s="193"/>
      <c r="E59" s="193"/>
      <c r="F59" s="193"/>
      <c r="G59" s="193"/>
      <c r="H59" s="193"/>
      <c r="I59" s="193"/>
      <c r="J59" s="675"/>
      <c r="K59" s="193"/>
      <c r="L59" s="193"/>
      <c r="M59" s="193"/>
      <c r="N59" s="193"/>
      <c r="O59" s="193"/>
      <c r="P59" s="193"/>
      <c r="Q59" s="193"/>
      <c r="R59" s="193"/>
      <c r="S59" s="193"/>
      <c r="T59" s="676"/>
      <c r="U59" s="193"/>
      <c r="V59" s="193"/>
      <c r="W59" s="193"/>
      <c r="X59" s="193"/>
      <c r="Y59" s="193"/>
      <c r="Z59" s="193"/>
      <c r="AA59" s="193"/>
      <c r="AB59" s="193"/>
      <c r="AC59" s="193"/>
      <c r="AD59" s="677"/>
      <c r="AE59" s="193"/>
      <c r="AF59" s="193"/>
      <c r="AG59" s="193"/>
      <c r="AH59" s="193"/>
      <c r="AI59" s="193"/>
      <c r="AJ59" s="193"/>
      <c r="AK59" s="193"/>
      <c r="AL59" s="193"/>
      <c r="AM59" s="193"/>
      <c r="AN59" s="678"/>
    </row>
    <row r="60" spans="1:46" x14ac:dyDescent="0.2">
      <c r="J60" s="658"/>
      <c r="T60" s="659"/>
      <c r="AD60" s="660"/>
      <c r="AN60" s="661"/>
      <c r="AP60" s="308" t="s">
        <v>376</v>
      </c>
    </row>
    <row r="61" spans="1:46" ht="15.75" x14ac:dyDescent="0.25">
      <c r="B61" s="679" t="s">
        <v>309</v>
      </c>
      <c r="D61" s="185" t="s">
        <v>368</v>
      </c>
      <c r="E61" s="662" t="s">
        <v>369</v>
      </c>
      <c r="H61" s="680" t="s">
        <v>370</v>
      </c>
      <c r="I61" s="680" t="s">
        <v>371</v>
      </c>
      <c r="J61" s="658"/>
      <c r="L61" s="679" t="s">
        <v>309</v>
      </c>
      <c r="N61" s="185" t="s">
        <v>368</v>
      </c>
      <c r="O61" s="662" t="s">
        <v>369</v>
      </c>
      <c r="R61" s="680" t="s">
        <v>370</v>
      </c>
      <c r="S61" s="680" t="s">
        <v>371</v>
      </c>
      <c r="T61" s="659"/>
      <c r="V61" s="679" t="s">
        <v>309</v>
      </c>
      <c r="X61" s="185" t="s">
        <v>368</v>
      </c>
      <c r="Y61" s="662" t="s">
        <v>369</v>
      </c>
      <c r="AB61" s="680" t="s">
        <v>370</v>
      </c>
      <c r="AC61" s="680" t="s">
        <v>371</v>
      </c>
      <c r="AD61" s="660"/>
      <c r="AF61" s="679" t="s">
        <v>309</v>
      </c>
      <c r="AH61" s="185" t="s">
        <v>368</v>
      </c>
      <c r="AI61" s="662" t="s">
        <v>369</v>
      </c>
      <c r="AL61" s="680" t="s">
        <v>370</v>
      </c>
      <c r="AM61" s="680" t="s">
        <v>371</v>
      </c>
      <c r="AN61" s="661"/>
    </row>
    <row r="62" spans="1:46" x14ac:dyDescent="0.2">
      <c r="B62" s="442"/>
      <c r="H62" s="681">
        <f>SUM(H63:H70)</f>
        <v>0</v>
      </c>
      <c r="I62" s="686">
        <v>0</v>
      </c>
      <c r="J62" s="658"/>
      <c r="L62" s="442"/>
      <c r="R62" s="681">
        <f>SUM(R63:R70)</f>
        <v>0</v>
      </c>
      <c r="S62" s="681">
        <f>L76</f>
        <v>0</v>
      </c>
      <c r="T62" s="659"/>
      <c r="V62" s="442"/>
      <c r="AB62" s="681">
        <f>SUM(AB63:AB70)</f>
        <v>0</v>
      </c>
      <c r="AC62" s="681">
        <f>V76</f>
        <v>0</v>
      </c>
      <c r="AD62" s="660"/>
      <c r="AF62" s="442"/>
      <c r="AL62" s="681">
        <f>SUM(AL63:AL70)</f>
        <v>0</v>
      </c>
      <c r="AM62" s="681">
        <f>AF76</f>
        <v>0</v>
      </c>
      <c r="AN62" s="661"/>
    </row>
    <row r="63" spans="1:46" x14ac:dyDescent="0.2">
      <c r="B63" s="442">
        <v>0</v>
      </c>
      <c r="D63" s="682">
        <v>1.4</v>
      </c>
      <c r="E63" s="682">
        <v>0</v>
      </c>
      <c r="F63" s="681">
        <f>E63</f>
        <v>0</v>
      </c>
      <c r="G63" s="680" t="b">
        <f t="shared" ref="G63:G69" si="48">AND(B$73&gt;=B63,B$73&lt;B64)</f>
        <v>0</v>
      </c>
      <c r="H63" s="682">
        <f t="shared" ref="H63:H70" si="49">IF(G63=TRUE,(B$73-B63)/100*D64+F63,0)</f>
        <v>0</v>
      </c>
      <c r="I63" s="682"/>
      <c r="J63" s="658"/>
      <c r="L63" s="442">
        <v>0</v>
      </c>
      <c r="N63" s="682">
        <v>1.4</v>
      </c>
      <c r="O63" s="682">
        <v>0</v>
      </c>
      <c r="P63" s="681">
        <f>O63</f>
        <v>0</v>
      </c>
      <c r="Q63" s="680" t="b">
        <f t="shared" ref="Q63:Q69" si="50">AND(L$73&gt;=L63,L$73&lt;L64)</f>
        <v>0</v>
      </c>
      <c r="R63" s="682">
        <f t="shared" ref="R63:R69" si="51">IF(Q63=TRUE,(L$73-L63)/100*N64+P63,0)</f>
        <v>0</v>
      </c>
      <c r="S63" s="682"/>
      <c r="T63" s="659"/>
      <c r="V63" s="442">
        <v>0</v>
      </c>
      <c r="X63" s="682">
        <v>1.4</v>
      </c>
      <c r="Y63" s="682">
        <v>0</v>
      </c>
      <c r="Z63" s="681">
        <f>Y63</f>
        <v>0</v>
      </c>
      <c r="AA63" s="680" t="b">
        <f t="shared" ref="AA63:AA69" si="52">AND(V$73&gt;=V63,V$73&lt;V64)</f>
        <v>0</v>
      </c>
      <c r="AB63" s="682">
        <f t="shared" ref="AB63:AB70" si="53">IF(AA63=TRUE,(V$73-V63)/100*X64+Z63,0)</f>
        <v>0</v>
      </c>
      <c r="AC63" s="682"/>
      <c r="AD63" s="660"/>
      <c r="AF63" s="442">
        <v>0</v>
      </c>
      <c r="AH63" s="682">
        <v>1.4</v>
      </c>
      <c r="AI63" s="682">
        <v>0</v>
      </c>
      <c r="AJ63" s="681">
        <f>AI63</f>
        <v>0</v>
      </c>
      <c r="AK63" s="680" t="b">
        <f t="shared" ref="AK63:AK69" si="54">AND(AF$73&gt;=AF63,AF$73&lt;AF64)</f>
        <v>0</v>
      </c>
      <c r="AL63" s="682">
        <f t="shared" ref="AL63:AL70" si="55">IF(AK63=TRUE,(AF$73-AF63)/100*AH64+AJ63,0)</f>
        <v>0</v>
      </c>
      <c r="AM63" s="682"/>
      <c r="AN63" s="661"/>
    </row>
    <row r="64" spans="1:46" x14ac:dyDescent="0.2">
      <c r="B64" s="442">
        <v>0</v>
      </c>
      <c r="C64" s="683">
        <f>B64/100</f>
        <v>0</v>
      </c>
      <c r="D64" s="682">
        <f>D63</f>
        <v>1.4</v>
      </c>
      <c r="E64" s="682">
        <f>D64*C64</f>
        <v>0</v>
      </c>
      <c r="F64" s="681">
        <f>E64</f>
        <v>0</v>
      </c>
      <c r="G64" s="680" t="b">
        <f t="shared" si="48"/>
        <v>0</v>
      </c>
      <c r="H64" s="682">
        <f t="shared" si="49"/>
        <v>0</v>
      </c>
      <c r="I64" s="682"/>
      <c r="J64" s="658"/>
      <c r="L64" s="442">
        <v>0</v>
      </c>
      <c r="M64" s="683">
        <f>L64/100</f>
        <v>0</v>
      </c>
      <c r="N64" s="682">
        <f>N63</f>
        <v>1.4</v>
      </c>
      <c r="O64" s="682">
        <f>N64*M64</f>
        <v>0</v>
      </c>
      <c r="P64" s="681">
        <f>O64</f>
        <v>0</v>
      </c>
      <c r="Q64" s="680" t="b">
        <f t="shared" si="50"/>
        <v>0</v>
      </c>
      <c r="R64" s="682">
        <f t="shared" si="51"/>
        <v>0</v>
      </c>
      <c r="S64" s="682"/>
      <c r="T64" s="659"/>
      <c r="V64" s="442">
        <v>0</v>
      </c>
      <c r="W64" s="683">
        <f>V64/100</f>
        <v>0</v>
      </c>
      <c r="X64" s="682">
        <f>X63</f>
        <v>1.4</v>
      </c>
      <c r="Y64" s="682">
        <f>X64*W64</f>
        <v>0</v>
      </c>
      <c r="Z64" s="681">
        <f>Y64</f>
        <v>0</v>
      </c>
      <c r="AA64" s="680" t="b">
        <f t="shared" si="52"/>
        <v>0</v>
      </c>
      <c r="AB64" s="682">
        <f t="shared" si="53"/>
        <v>0</v>
      </c>
      <c r="AC64" s="682"/>
      <c r="AD64" s="660"/>
      <c r="AF64" s="442">
        <v>0</v>
      </c>
      <c r="AG64" s="683">
        <f>AF64/100</f>
        <v>0</v>
      </c>
      <c r="AH64" s="682">
        <f>AH63</f>
        <v>1.4</v>
      </c>
      <c r="AI64" s="682">
        <f>AH64*AG64</f>
        <v>0</v>
      </c>
      <c r="AJ64" s="681">
        <f>AI64</f>
        <v>0</v>
      </c>
      <c r="AK64" s="680" t="b">
        <f t="shared" si="54"/>
        <v>0</v>
      </c>
      <c r="AL64" s="682">
        <f t="shared" si="55"/>
        <v>0</v>
      </c>
      <c r="AM64" s="682"/>
      <c r="AN64" s="661"/>
    </row>
    <row r="65" spans="1:41" x14ac:dyDescent="0.2">
      <c r="B65" s="442">
        <v>0</v>
      </c>
      <c r="C65" s="683">
        <f t="shared" ref="C65:C70" si="56">(B65-B64)/100</f>
        <v>0</v>
      </c>
      <c r="D65" s="682">
        <f>D64</f>
        <v>1.4</v>
      </c>
      <c r="E65" s="682">
        <f>C65*D65</f>
        <v>0</v>
      </c>
      <c r="F65" s="681">
        <f>E65+F64</f>
        <v>0</v>
      </c>
      <c r="G65" s="680" t="b">
        <f t="shared" si="48"/>
        <v>0</v>
      </c>
      <c r="H65" s="682">
        <f t="shared" si="49"/>
        <v>0</v>
      </c>
      <c r="I65" s="682"/>
      <c r="J65" s="658"/>
      <c r="L65" s="442">
        <v>0</v>
      </c>
      <c r="M65" s="683">
        <f t="shared" ref="M65:M70" si="57">(L65-L64)/100</f>
        <v>0</v>
      </c>
      <c r="N65" s="682">
        <f>N64</f>
        <v>1.4</v>
      </c>
      <c r="O65" s="682">
        <f>M65*N65</f>
        <v>0</v>
      </c>
      <c r="P65" s="681">
        <f>O65+P64</f>
        <v>0</v>
      </c>
      <c r="Q65" s="680" t="b">
        <f t="shared" si="50"/>
        <v>0</v>
      </c>
      <c r="R65" s="682">
        <f t="shared" si="51"/>
        <v>0</v>
      </c>
      <c r="S65" s="682"/>
      <c r="T65" s="659"/>
      <c r="V65" s="442">
        <v>0</v>
      </c>
      <c r="W65" s="683">
        <f t="shared" ref="W65:W70" si="58">(V65-V64)/100</f>
        <v>0</v>
      </c>
      <c r="X65" s="682">
        <f>X64</f>
        <v>1.4</v>
      </c>
      <c r="Y65" s="682">
        <f>W65*X65</f>
        <v>0</v>
      </c>
      <c r="Z65" s="681">
        <f>Y65+Z64</f>
        <v>0</v>
      </c>
      <c r="AA65" s="680" t="b">
        <f t="shared" si="52"/>
        <v>0</v>
      </c>
      <c r="AB65" s="682">
        <f t="shared" si="53"/>
        <v>0</v>
      </c>
      <c r="AC65" s="682"/>
      <c r="AD65" s="660"/>
      <c r="AF65" s="442">
        <v>0</v>
      </c>
      <c r="AG65" s="683">
        <f t="shared" ref="AG65:AG70" si="59">(AF65-AF64)/100</f>
        <v>0</v>
      </c>
      <c r="AH65" s="682">
        <f>AH64</f>
        <v>1.4</v>
      </c>
      <c r="AI65" s="682">
        <f>AG65*AH65</f>
        <v>0</v>
      </c>
      <c r="AJ65" s="681">
        <f>AI65+AJ64</f>
        <v>0</v>
      </c>
      <c r="AK65" s="680" t="b">
        <f t="shared" si="54"/>
        <v>0</v>
      </c>
      <c r="AL65" s="682">
        <f t="shared" si="55"/>
        <v>0</v>
      </c>
      <c r="AM65" s="682"/>
      <c r="AN65" s="661"/>
    </row>
    <row r="66" spans="1:41" x14ac:dyDescent="0.2">
      <c r="B66" s="442">
        <v>0</v>
      </c>
      <c r="C66" s="683">
        <f t="shared" si="56"/>
        <v>0</v>
      </c>
      <c r="D66" s="682">
        <f>D65</f>
        <v>1.4</v>
      </c>
      <c r="E66" s="682">
        <f>C66*D66</f>
        <v>0</v>
      </c>
      <c r="F66" s="681">
        <f>E66+F65</f>
        <v>0</v>
      </c>
      <c r="G66" s="680" t="b">
        <f t="shared" si="48"/>
        <v>1</v>
      </c>
      <c r="H66" s="682">
        <f t="shared" si="49"/>
        <v>0</v>
      </c>
      <c r="I66" s="682"/>
      <c r="J66" s="658"/>
      <c r="L66" s="442">
        <v>0</v>
      </c>
      <c r="M66" s="683">
        <f t="shared" si="57"/>
        <v>0</v>
      </c>
      <c r="N66" s="682">
        <f>N65</f>
        <v>1.4</v>
      </c>
      <c r="O66" s="682">
        <f>M66*N66</f>
        <v>0</v>
      </c>
      <c r="P66" s="681">
        <f>O66+P65</f>
        <v>0</v>
      </c>
      <c r="Q66" s="680" t="b">
        <f t="shared" si="50"/>
        <v>1</v>
      </c>
      <c r="R66" s="682">
        <f t="shared" si="51"/>
        <v>0</v>
      </c>
      <c r="S66" s="682"/>
      <c r="T66" s="659"/>
      <c r="V66" s="442">
        <v>0</v>
      </c>
      <c r="W66" s="683">
        <f t="shared" si="58"/>
        <v>0</v>
      </c>
      <c r="X66" s="682">
        <f>X65</f>
        <v>1.4</v>
      </c>
      <c r="Y66" s="682">
        <f>W66*X66</f>
        <v>0</v>
      </c>
      <c r="Z66" s="681">
        <f>Y66+Z65</f>
        <v>0</v>
      </c>
      <c r="AA66" s="680" t="b">
        <f t="shared" si="52"/>
        <v>1</v>
      </c>
      <c r="AB66" s="682">
        <f t="shared" si="53"/>
        <v>0</v>
      </c>
      <c r="AC66" s="682"/>
      <c r="AD66" s="660"/>
      <c r="AF66" s="442">
        <v>0</v>
      </c>
      <c r="AG66" s="683">
        <f t="shared" si="59"/>
        <v>0</v>
      </c>
      <c r="AH66" s="682">
        <f>AH65</f>
        <v>1.4</v>
      </c>
      <c r="AI66" s="682">
        <f>AG66*AH66</f>
        <v>0</v>
      </c>
      <c r="AJ66" s="681">
        <f>AI66+AJ65</f>
        <v>0</v>
      </c>
      <c r="AK66" s="680" t="b">
        <f t="shared" si="54"/>
        <v>1</v>
      </c>
      <c r="AL66" s="682">
        <f t="shared" si="55"/>
        <v>0</v>
      </c>
      <c r="AM66" s="682"/>
      <c r="AN66" s="661"/>
    </row>
    <row r="67" spans="1:41" x14ac:dyDescent="0.2">
      <c r="B67" s="442">
        <v>20000</v>
      </c>
      <c r="C67" s="683">
        <f t="shared" si="56"/>
        <v>200</v>
      </c>
      <c r="D67" s="682">
        <v>1.4</v>
      </c>
      <c r="E67" s="682">
        <f>C67*D67</f>
        <v>280</v>
      </c>
      <c r="F67" s="681">
        <f>E67+F66</f>
        <v>280</v>
      </c>
      <c r="G67" s="680" t="b">
        <f t="shared" si="48"/>
        <v>0</v>
      </c>
      <c r="H67" s="682">
        <f t="shared" si="49"/>
        <v>0</v>
      </c>
      <c r="I67" s="682"/>
      <c r="J67" s="658"/>
      <c r="L67" s="687">
        <v>25000</v>
      </c>
      <c r="M67" s="683">
        <f t="shared" si="57"/>
        <v>250</v>
      </c>
      <c r="N67" s="682">
        <v>1.4</v>
      </c>
      <c r="O67" s="682">
        <f>M67*N67</f>
        <v>350</v>
      </c>
      <c r="P67" s="681">
        <f>O67+P66</f>
        <v>350</v>
      </c>
      <c r="Q67" s="680" t="b">
        <f>AND(L$73&gt;L67,L$73&lt;L68)</f>
        <v>0</v>
      </c>
      <c r="R67" s="682">
        <f>IF(Q67=TRUE,(L$73-L67)/100*N68+P67,0)</f>
        <v>0</v>
      </c>
      <c r="S67" s="682"/>
      <c r="T67" s="659"/>
      <c r="V67" s="442">
        <v>20000</v>
      </c>
      <c r="W67" s="683">
        <f t="shared" si="58"/>
        <v>200</v>
      </c>
      <c r="X67" s="682">
        <v>1.4</v>
      </c>
      <c r="Y67" s="682">
        <f>W67*X67</f>
        <v>280</v>
      </c>
      <c r="Z67" s="681">
        <f>Y67+Z66</f>
        <v>280</v>
      </c>
      <c r="AA67" s="680" t="b">
        <f t="shared" si="52"/>
        <v>0</v>
      </c>
      <c r="AB67" s="682">
        <f t="shared" si="53"/>
        <v>0</v>
      </c>
      <c r="AC67" s="682"/>
      <c r="AD67" s="660"/>
      <c r="AF67" s="442">
        <v>20000</v>
      </c>
      <c r="AG67" s="683">
        <f t="shared" si="59"/>
        <v>200</v>
      </c>
      <c r="AH67" s="682">
        <v>1.4</v>
      </c>
      <c r="AI67" s="682">
        <f>AG67*AH67</f>
        <v>280</v>
      </c>
      <c r="AJ67" s="681">
        <f>AI67+AJ66</f>
        <v>280</v>
      </c>
      <c r="AK67" s="680" t="b">
        <f t="shared" si="54"/>
        <v>0</v>
      </c>
      <c r="AL67" s="682">
        <f t="shared" si="55"/>
        <v>0</v>
      </c>
      <c r="AM67" s="682"/>
      <c r="AN67" s="661"/>
    </row>
    <row r="68" spans="1:41" x14ac:dyDescent="0.2">
      <c r="B68" s="442">
        <v>115000</v>
      </c>
      <c r="C68" s="683">
        <f t="shared" si="56"/>
        <v>950</v>
      </c>
      <c r="D68" s="682">
        <v>2.4</v>
      </c>
      <c r="E68" s="682">
        <f>C68*D68</f>
        <v>2280</v>
      </c>
      <c r="F68" s="681">
        <f>E68+F67</f>
        <v>2560</v>
      </c>
      <c r="G68" s="680" t="b">
        <f t="shared" si="48"/>
        <v>0</v>
      </c>
      <c r="H68" s="682">
        <f t="shared" si="49"/>
        <v>0</v>
      </c>
      <c r="I68" s="682"/>
      <c r="J68" s="658"/>
      <c r="L68" s="687">
        <v>130000</v>
      </c>
      <c r="M68" s="683">
        <f t="shared" si="57"/>
        <v>1050</v>
      </c>
      <c r="N68" s="682">
        <v>2.4</v>
      </c>
      <c r="O68" s="682">
        <f>M68*N68</f>
        <v>2520</v>
      </c>
      <c r="P68" s="681">
        <f>O68+P67</f>
        <v>2870</v>
      </c>
      <c r="Q68" s="680" t="b">
        <f t="shared" si="50"/>
        <v>0</v>
      </c>
      <c r="R68" s="682">
        <f>IF(Q68=TRUE,(L$73-L68)/100*N69+P68,0)</f>
        <v>0</v>
      </c>
      <c r="S68" s="682"/>
      <c r="T68" s="659"/>
      <c r="V68" s="442">
        <v>115000</v>
      </c>
      <c r="W68" s="683">
        <f t="shared" si="58"/>
        <v>950</v>
      </c>
      <c r="X68" s="682">
        <v>2.4</v>
      </c>
      <c r="Y68" s="682">
        <f>W68*X68</f>
        <v>2280</v>
      </c>
      <c r="Z68" s="681">
        <f>Y68+Z67</f>
        <v>2560</v>
      </c>
      <c r="AA68" s="680" t="b">
        <f t="shared" si="52"/>
        <v>0</v>
      </c>
      <c r="AB68" s="682">
        <f t="shared" si="53"/>
        <v>0</v>
      </c>
      <c r="AC68" s="682"/>
      <c r="AD68" s="660"/>
      <c r="AF68" s="442">
        <v>115000</v>
      </c>
      <c r="AG68" s="683">
        <f t="shared" si="59"/>
        <v>950</v>
      </c>
      <c r="AH68" s="682">
        <v>2.4</v>
      </c>
      <c r="AI68" s="682">
        <f>AG68*AH68</f>
        <v>2280</v>
      </c>
      <c r="AJ68" s="681">
        <f>AI68+AJ67</f>
        <v>2560</v>
      </c>
      <c r="AK68" s="680" t="b">
        <f t="shared" si="54"/>
        <v>0</v>
      </c>
      <c r="AL68" s="682">
        <f t="shared" si="55"/>
        <v>0</v>
      </c>
      <c r="AM68" s="682"/>
      <c r="AN68" s="661"/>
    </row>
    <row r="69" spans="1:41" x14ac:dyDescent="0.2">
      <c r="B69" s="442">
        <v>870000</v>
      </c>
      <c r="C69" s="683">
        <f t="shared" si="56"/>
        <v>7550</v>
      </c>
      <c r="D69" s="682">
        <v>6</v>
      </c>
      <c r="E69" s="682">
        <f>C69*D69</f>
        <v>45300</v>
      </c>
      <c r="F69" s="681">
        <f>E69+F68</f>
        <v>47860</v>
      </c>
      <c r="G69" s="680" t="b">
        <f t="shared" si="48"/>
        <v>0</v>
      </c>
      <c r="H69" s="682">
        <f t="shared" si="49"/>
        <v>0</v>
      </c>
      <c r="I69" s="682"/>
      <c r="J69" s="658"/>
      <c r="L69" s="687">
        <v>960000</v>
      </c>
      <c r="M69" s="683">
        <f t="shared" si="57"/>
        <v>8300</v>
      </c>
      <c r="N69" s="682">
        <v>6</v>
      </c>
      <c r="O69" s="682">
        <f>M69*N69</f>
        <v>49800</v>
      </c>
      <c r="P69" s="681">
        <f>O69+P68</f>
        <v>52670</v>
      </c>
      <c r="Q69" s="680" t="b">
        <f t="shared" si="50"/>
        <v>0</v>
      </c>
      <c r="R69" s="682">
        <f t="shared" si="51"/>
        <v>0</v>
      </c>
      <c r="S69" s="682"/>
      <c r="T69" s="659"/>
      <c r="V69" s="442">
        <v>870000</v>
      </c>
      <c r="W69" s="683">
        <f t="shared" si="58"/>
        <v>7550</v>
      </c>
      <c r="X69" s="682">
        <v>6</v>
      </c>
      <c r="Y69" s="682">
        <f>W69*X69</f>
        <v>45300</v>
      </c>
      <c r="Z69" s="681">
        <f>Y69+Z68</f>
        <v>47860</v>
      </c>
      <c r="AA69" s="680" t="b">
        <f t="shared" si="52"/>
        <v>0</v>
      </c>
      <c r="AB69" s="682">
        <f t="shared" si="53"/>
        <v>0</v>
      </c>
      <c r="AC69" s="682"/>
      <c r="AD69" s="660"/>
      <c r="AF69" s="442">
        <v>870000</v>
      </c>
      <c r="AG69" s="683">
        <f t="shared" si="59"/>
        <v>7550</v>
      </c>
      <c r="AH69" s="682">
        <v>6</v>
      </c>
      <c r="AI69" s="682">
        <f>AG69*AH69</f>
        <v>45300</v>
      </c>
      <c r="AJ69" s="681">
        <f>AI69+AJ68</f>
        <v>47860</v>
      </c>
      <c r="AK69" s="680" t="b">
        <f t="shared" si="54"/>
        <v>0</v>
      </c>
      <c r="AL69" s="682">
        <f t="shared" si="55"/>
        <v>0</v>
      </c>
      <c r="AM69" s="682"/>
      <c r="AN69" s="661"/>
    </row>
    <row r="70" spans="1:41" x14ac:dyDescent="0.2">
      <c r="B70" s="442">
        <f>IF(B73&lt;=B69,B69+1,B73)</f>
        <v>870001</v>
      </c>
      <c r="C70" s="683">
        <f t="shared" si="56"/>
        <v>0.01</v>
      </c>
      <c r="D70" s="682">
        <v>5.5</v>
      </c>
      <c r="E70" s="682">
        <f>B73/100*D70</f>
        <v>0</v>
      </c>
      <c r="F70" s="681">
        <f>E70</f>
        <v>0</v>
      </c>
      <c r="G70" s="680" t="b">
        <f>IF(B73&gt;B69,TRUE,FALSE)</f>
        <v>0</v>
      </c>
      <c r="H70" s="682">
        <f t="shared" si="49"/>
        <v>0</v>
      </c>
      <c r="I70" s="682"/>
      <c r="J70" s="658"/>
      <c r="L70" s="687">
        <f>L69+1</f>
        <v>960001</v>
      </c>
      <c r="M70" s="683">
        <f t="shared" si="57"/>
        <v>0.01</v>
      </c>
      <c r="N70" s="682">
        <v>5.5</v>
      </c>
      <c r="O70" s="682">
        <f>L73/100*N70</f>
        <v>0</v>
      </c>
      <c r="P70" s="681">
        <f>O70</f>
        <v>0</v>
      </c>
      <c r="Q70" s="680" t="b">
        <f>IF(L73&gt;L69,TRUE,FALSE)</f>
        <v>0</v>
      </c>
      <c r="R70" s="682">
        <f>IF(Q70=TRUE,(L$73-L70)/100*N71+P70,0)</f>
        <v>0</v>
      </c>
      <c r="S70" s="682"/>
      <c r="T70" s="659"/>
      <c r="V70" s="442">
        <f>IF(V73&lt;=V69,V69+1,V73)</f>
        <v>870001</v>
      </c>
      <c r="W70" s="683">
        <f t="shared" si="58"/>
        <v>0.01</v>
      </c>
      <c r="X70" s="682">
        <v>5.5</v>
      </c>
      <c r="Y70" s="682">
        <f>V73/100*X70</f>
        <v>0</v>
      </c>
      <c r="Z70" s="681">
        <f>Y70</f>
        <v>0</v>
      </c>
      <c r="AA70" s="680" t="b">
        <f>IF(V73&gt;V69,TRUE,FALSE)</f>
        <v>0</v>
      </c>
      <c r="AB70" s="682">
        <f t="shared" si="53"/>
        <v>0</v>
      </c>
      <c r="AC70" s="682"/>
      <c r="AD70" s="660"/>
      <c r="AF70" s="442">
        <f>IF(AF73&lt;=AF69,AF69+1,AF73)</f>
        <v>870001</v>
      </c>
      <c r="AG70" s="683">
        <f t="shared" si="59"/>
        <v>0.01</v>
      </c>
      <c r="AH70" s="682">
        <v>5.5</v>
      </c>
      <c r="AI70" s="682">
        <f>AF73/100*AH70</f>
        <v>0</v>
      </c>
      <c r="AJ70" s="681">
        <f>AI70</f>
        <v>0</v>
      </c>
      <c r="AK70" s="680" t="b">
        <f>IF(AF73&gt;AF69,TRUE,FALSE)</f>
        <v>0</v>
      </c>
      <c r="AL70" s="682">
        <f t="shared" si="55"/>
        <v>0</v>
      </c>
      <c r="AM70" s="682"/>
      <c r="AN70" s="661"/>
    </row>
    <row r="71" spans="1:41" x14ac:dyDescent="0.2">
      <c r="B71" s="682"/>
      <c r="J71" s="658"/>
      <c r="L71" s="682"/>
      <c r="T71" s="659"/>
      <c r="V71" s="682"/>
      <c r="AD71" s="660"/>
      <c r="AF71" s="682"/>
      <c r="AN71" s="661"/>
    </row>
    <row r="72" spans="1:41" x14ac:dyDescent="0.2">
      <c r="B72" s="185" t="s">
        <v>372</v>
      </c>
      <c r="J72" s="658"/>
      <c r="L72" s="185" t="s">
        <v>372</v>
      </c>
      <c r="T72" s="659"/>
      <c r="V72" s="185" t="s">
        <v>372</v>
      </c>
      <c r="AD72" s="660"/>
      <c r="AF72" s="185" t="s">
        <v>372</v>
      </c>
      <c r="AN72" s="661"/>
    </row>
    <row r="73" spans="1:41" x14ac:dyDescent="0.2">
      <c r="B73" s="665">
        <f>'Stamp Duty'!D7</f>
        <v>0</v>
      </c>
      <c r="E73" s="442"/>
      <c r="F73" s="442"/>
      <c r="J73" s="658"/>
      <c r="L73" s="665">
        <f>N7</f>
        <v>0</v>
      </c>
      <c r="O73" s="653"/>
      <c r="P73" s="442"/>
      <c r="T73" s="659"/>
      <c r="V73" s="665"/>
      <c r="Y73" s="442"/>
      <c r="Z73" s="442"/>
      <c r="AD73" s="660"/>
      <c r="AF73" s="665"/>
      <c r="AI73" s="442"/>
      <c r="AJ73" s="442"/>
      <c r="AN73" s="661"/>
    </row>
    <row r="74" spans="1:41" x14ac:dyDescent="0.2">
      <c r="B74" s="185" t="s">
        <v>373</v>
      </c>
      <c r="E74" s="442"/>
      <c r="F74" s="442"/>
      <c r="J74" s="658"/>
      <c r="L74" s="185" t="s">
        <v>373</v>
      </c>
      <c r="O74" s="653"/>
      <c r="P74" s="442"/>
      <c r="R74" s="442"/>
      <c r="T74" s="659"/>
      <c r="Y74" s="442"/>
      <c r="Z74" s="442"/>
      <c r="AD74" s="660"/>
      <c r="AI74" s="442"/>
      <c r="AJ74" s="442"/>
      <c r="AN74" s="661"/>
      <c r="AO74" s="442"/>
    </row>
    <row r="75" spans="1:41" x14ac:dyDescent="0.2">
      <c r="B75" s="665">
        <f>'Stamp Duty'!D8</f>
        <v>0</v>
      </c>
      <c r="F75" s="442"/>
      <c r="J75" s="658"/>
      <c r="L75" s="665">
        <f>'Stamp Duty'!N8</f>
        <v>0</v>
      </c>
      <c r="O75" s="653"/>
      <c r="P75" s="442"/>
      <c r="T75" s="659"/>
      <c r="V75" s="665"/>
      <c r="Z75" s="442"/>
      <c r="AD75" s="660"/>
      <c r="AF75" s="665"/>
      <c r="AJ75" s="442"/>
      <c r="AN75" s="661"/>
      <c r="AO75" s="689"/>
    </row>
    <row r="76" spans="1:41" x14ac:dyDescent="0.2">
      <c r="B76" s="682">
        <v>0</v>
      </c>
      <c r="E76" s="682"/>
      <c r="F76" s="682"/>
      <c r="J76" s="658"/>
      <c r="L76" s="682">
        <v>0</v>
      </c>
      <c r="O76" s="653"/>
      <c r="P76" s="682"/>
      <c r="T76" s="659"/>
      <c r="V76" s="682"/>
      <c r="Y76" s="682"/>
      <c r="Z76" s="682"/>
      <c r="AD76" s="660"/>
      <c r="AF76" s="682"/>
      <c r="AI76" s="682"/>
      <c r="AJ76" s="682"/>
      <c r="AN76" s="661"/>
    </row>
    <row r="77" spans="1:41" x14ac:dyDescent="0.2">
      <c r="B77" s="682" t="s">
        <v>374</v>
      </c>
      <c r="F77" s="682"/>
      <c r="J77" s="658"/>
      <c r="L77" s="682" t="s">
        <v>374</v>
      </c>
      <c r="P77" s="682"/>
      <c r="T77" s="659"/>
      <c r="V77" s="682" t="s">
        <v>374</v>
      </c>
      <c r="Z77" s="682"/>
      <c r="AD77" s="660"/>
      <c r="AF77" s="682" t="s">
        <v>374</v>
      </c>
      <c r="AJ77" s="682"/>
      <c r="AN77" s="661"/>
    </row>
    <row r="78" spans="1:41" x14ac:dyDescent="0.2">
      <c r="B78" s="185" t="s">
        <v>369</v>
      </c>
      <c r="J78" s="658"/>
      <c r="L78" s="185" t="s">
        <v>369</v>
      </c>
      <c r="T78" s="659"/>
      <c r="V78" s="185" t="s">
        <v>369</v>
      </c>
      <c r="AD78" s="660"/>
      <c r="AF78" s="185" t="s">
        <v>369</v>
      </c>
      <c r="AN78" s="661"/>
    </row>
    <row r="79" spans="1:41" x14ac:dyDescent="0.2">
      <c r="A79" s="193"/>
      <c r="B79" s="193"/>
      <c r="C79" s="193"/>
      <c r="D79" s="193"/>
      <c r="E79" s="193"/>
      <c r="F79" s="193"/>
      <c r="G79" s="193"/>
      <c r="H79" s="193"/>
      <c r="I79" s="193"/>
      <c r="J79" s="675"/>
      <c r="K79" s="193"/>
      <c r="L79" s="193"/>
      <c r="M79" s="193"/>
      <c r="N79" s="193"/>
      <c r="O79" s="193"/>
      <c r="P79" s="193"/>
      <c r="Q79" s="193"/>
      <c r="R79" s="193"/>
      <c r="S79" s="193"/>
      <c r="T79" s="676"/>
      <c r="U79" s="193"/>
      <c r="V79" s="193"/>
      <c r="W79" s="193"/>
      <c r="X79" s="193"/>
      <c r="Y79" s="193"/>
      <c r="Z79" s="193"/>
      <c r="AA79" s="193"/>
      <c r="AB79" s="193"/>
      <c r="AC79" s="193"/>
      <c r="AD79" s="677"/>
      <c r="AE79" s="193"/>
      <c r="AF79" s="193"/>
      <c r="AG79" s="193"/>
      <c r="AH79" s="193"/>
      <c r="AI79" s="193"/>
      <c r="AJ79" s="193"/>
      <c r="AK79" s="193"/>
      <c r="AL79" s="193"/>
      <c r="AM79" s="193"/>
      <c r="AN79" s="678"/>
    </row>
    <row r="80" spans="1:41" x14ac:dyDescent="0.2">
      <c r="J80" s="658"/>
      <c r="T80" s="659"/>
      <c r="AD80" s="660"/>
      <c r="AN80" s="661"/>
    </row>
    <row r="81" spans="2:40" ht="15.75" x14ac:dyDescent="0.25">
      <c r="B81" s="679" t="s">
        <v>312</v>
      </c>
      <c r="D81" s="185" t="s">
        <v>368</v>
      </c>
      <c r="E81" s="662" t="s">
        <v>369</v>
      </c>
      <c r="H81" s="680" t="s">
        <v>370</v>
      </c>
      <c r="I81" s="680" t="s">
        <v>371</v>
      </c>
      <c r="J81" s="658"/>
      <c r="L81" s="679" t="s">
        <v>312</v>
      </c>
      <c r="N81" s="185" t="s">
        <v>368</v>
      </c>
      <c r="O81" s="662" t="s">
        <v>369</v>
      </c>
      <c r="R81" s="680" t="s">
        <v>370</v>
      </c>
      <c r="S81" s="680" t="s">
        <v>371</v>
      </c>
      <c r="T81" s="659"/>
      <c r="V81" s="679" t="s">
        <v>312</v>
      </c>
      <c r="X81" s="185" t="s">
        <v>368</v>
      </c>
      <c r="Y81" s="662" t="s">
        <v>369</v>
      </c>
      <c r="AB81" s="680" t="s">
        <v>370</v>
      </c>
      <c r="AC81" s="680" t="s">
        <v>371</v>
      </c>
      <c r="AD81" s="660"/>
      <c r="AF81" s="679" t="s">
        <v>312</v>
      </c>
      <c r="AH81" s="185" t="s">
        <v>368</v>
      </c>
      <c r="AI81" s="662" t="s">
        <v>369</v>
      </c>
      <c r="AL81" s="680" t="s">
        <v>370</v>
      </c>
      <c r="AM81" s="680" t="s">
        <v>371</v>
      </c>
      <c r="AN81" s="661"/>
    </row>
    <row r="82" spans="2:40" x14ac:dyDescent="0.2">
      <c r="B82" s="442"/>
      <c r="H82" s="681">
        <f>SUM(H83:H92)</f>
        <v>0</v>
      </c>
      <c r="I82" s="686">
        <v>0</v>
      </c>
      <c r="J82" s="658"/>
      <c r="L82" s="442"/>
      <c r="R82" s="681">
        <f>SUM(R83:R92)</f>
        <v>0</v>
      </c>
      <c r="S82" s="681">
        <f>L98</f>
        <v>0</v>
      </c>
      <c r="T82" s="659"/>
      <c r="V82" s="442"/>
      <c r="AB82" s="681">
        <f>SUM(AB83:AB92)</f>
        <v>0</v>
      </c>
      <c r="AC82" s="681">
        <f>V98</f>
        <v>0</v>
      </c>
      <c r="AD82" s="660"/>
      <c r="AF82" s="442"/>
      <c r="AL82" s="681">
        <f>SUM(AL83:AL92)</f>
        <v>0</v>
      </c>
      <c r="AM82" s="681">
        <f>AF98</f>
        <v>0</v>
      </c>
      <c r="AN82" s="661"/>
    </row>
    <row r="83" spans="2:40" x14ac:dyDescent="0.2">
      <c r="B83" s="442">
        <v>0</v>
      </c>
      <c r="D83" s="682">
        <v>1</v>
      </c>
      <c r="E83" s="682">
        <v>0</v>
      </c>
      <c r="F83" s="681">
        <f>E83</f>
        <v>0</v>
      </c>
      <c r="G83" s="680" t="b">
        <f t="shared" ref="G83:G91" si="60">AND(B$95&gt;=B83,B$95&lt;B84)</f>
        <v>1</v>
      </c>
      <c r="H83" s="682">
        <f t="shared" ref="H83:H91" si="61">IF(G83=TRUE,(B$95-B83)/100*D84+F83,0)</f>
        <v>0</v>
      </c>
      <c r="I83" s="682"/>
      <c r="J83" s="658"/>
      <c r="L83" s="442">
        <v>0</v>
      </c>
      <c r="N83" s="682">
        <v>1</v>
      </c>
      <c r="O83" s="682">
        <v>0</v>
      </c>
      <c r="P83" s="681">
        <f>O83</f>
        <v>0</v>
      </c>
      <c r="Q83" s="680" t="b">
        <f t="shared" ref="Q83:Q91" si="62">AND(L$95&gt;=L83,L$95&lt;L84)</f>
        <v>1</v>
      </c>
      <c r="R83" s="682">
        <f t="shared" ref="R83:R91" si="63">IF(Q83=TRUE,(L$95-L83)/100*N84+P83,0)</f>
        <v>0</v>
      </c>
      <c r="S83" s="682"/>
      <c r="T83" s="659"/>
      <c r="V83" s="442">
        <v>0</v>
      </c>
      <c r="X83" s="682">
        <v>1</v>
      </c>
      <c r="Y83" s="682">
        <v>0</v>
      </c>
      <c r="Z83" s="681">
        <f>Y83</f>
        <v>0</v>
      </c>
      <c r="AA83" s="680" t="b">
        <f t="shared" ref="AA83:AA91" si="64">AND(V$95&gt;=V83,V$95&lt;V84)</f>
        <v>1</v>
      </c>
      <c r="AB83" s="682">
        <f t="shared" ref="AB83:AB91" si="65">IF(AA83=TRUE,(V$95-V83)/100*X84+Z83,0)</f>
        <v>0</v>
      </c>
      <c r="AC83" s="682"/>
      <c r="AD83" s="660"/>
      <c r="AF83" s="442">
        <v>0</v>
      </c>
      <c r="AH83" s="682">
        <v>1</v>
      </c>
      <c r="AI83" s="682">
        <v>0</v>
      </c>
      <c r="AJ83" s="681">
        <f>AI83</f>
        <v>0</v>
      </c>
      <c r="AK83" s="680" t="b">
        <f t="shared" ref="AK83:AK91" si="66">AND(AF$95&gt;=AF83,AF$95&lt;AF84)</f>
        <v>1</v>
      </c>
      <c r="AL83" s="682">
        <f t="shared" ref="AL83:AL91" si="67">IF(AK83=TRUE,(AF$95-AF83)/100*AH84+AJ83,0)</f>
        <v>0</v>
      </c>
      <c r="AM83" s="682"/>
      <c r="AN83" s="661"/>
    </row>
    <row r="84" spans="2:40" x14ac:dyDescent="0.2">
      <c r="B84" s="442">
        <v>12000</v>
      </c>
      <c r="C84" s="683">
        <f>B84/100</f>
        <v>120</v>
      </c>
      <c r="D84" s="682">
        <v>1</v>
      </c>
      <c r="E84" s="682">
        <f>D84*C84</f>
        <v>120</v>
      </c>
      <c r="F84" s="681">
        <f>E84</f>
        <v>120</v>
      </c>
      <c r="G84" s="680" t="b">
        <f t="shared" si="60"/>
        <v>0</v>
      </c>
      <c r="H84" s="682">
        <f t="shared" si="61"/>
        <v>0</v>
      </c>
      <c r="I84" s="682"/>
      <c r="J84" s="658"/>
      <c r="L84" s="442">
        <v>12000</v>
      </c>
      <c r="M84" s="683">
        <f>L84/100</f>
        <v>120</v>
      </c>
      <c r="N84" s="682">
        <v>1</v>
      </c>
      <c r="O84" s="682">
        <f>N84*M84</f>
        <v>120</v>
      </c>
      <c r="P84" s="681">
        <f>O84</f>
        <v>120</v>
      </c>
      <c r="Q84" s="680" t="b">
        <f t="shared" si="62"/>
        <v>0</v>
      </c>
      <c r="R84" s="682">
        <f t="shared" si="63"/>
        <v>0</v>
      </c>
      <c r="S84" s="682"/>
      <c r="T84" s="659"/>
      <c r="V84" s="442">
        <v>12000</v>
      </c>
      <c r="W84" s="683">
        <f>V84/100</f>
        <v>120</v>
      </c>
      <c r="X84" s="682">
        <v>1</v>
      </c>
      <c r="Y84" s="682">
        <f>X84*W84</f>
        <v>120</v>
      </c>
      <c r="Z84" s="681">
        <f>Y84</f>
        <v>120</v>
      </c>
      <c r="AA84" s="680" t="b">
        <f t="shared" si="64"/>
        <v>0</v>
      </c>
      <c r="AB84" s="682">
        <f t="shared" si="65"/>
        <v>0</v>
      </c>
      <c r="AC84" s="682"/>
      <c r="AD84" s="660"/>
      <c r="AF84" s="442">
        <v>12000</v>
      </c>
      <c r="AG84" s="683">
        <f>AF84/100</f>
        <v>120</v>
      </c>
      <c r="AH84" s="682">
        <v>1</v>
      </c>
      <c r="AI84" s="682">
        <f>AH84*AG84</f>
        <v>120</v>
      </c>
      <c r="AJ84" s="681">
        <f>AI84</f>
        <v>120</v>
      </c>
      <c r="AK84" s="680" t="b">
        <f t="shared" si="66"/>
        <v>0</v>
      </c>
      <c r="AL84" s="682">
        <f t="shared" si="67"/>
        <v>0</v>
      </c>
      <c r="AM84" s="682"/>
      <c r="AN84" s="661"/>
    </row>
    <row r="85" spans="2:40" x14ac:dyDescent="0.2">
      <c r="B85" s="442">
        <v>30000</v>
      </c>
      <c r="C85" s="683">
        <f t="shared" ref="C85:C92" si="68">(B85-B84)/100</f>
        <v>180</v>
      </c>
      <c r="D85" s="682">
        <v>2</v>
      </c>
      <c r="E85" s="682">
        <f t="shared" ref="E85:E92" si="69">C85*D85</f>
        <v>360</v>
      </c>
      <c r="F85" s="681">
        <f t="shared" ref="F85:F92" si="70">E85+F84</f>
        <v>480</v>
      </c>
      <c r="G85" s="680" t="b">
        <f t="shared" si="60"/>
        <v>0</v>
      </c>
      <c r="H85" s="682">
        <f t="shared" si="61"/>
        <v>0</v>
      </c>
      <c r="I85" s="682"/>
      <c r="J85" s="658"/>
      <c r="L85" s="442">
        <v>30000</v>
      </c>
      <c r="M85" s="683">
        <f t="shared" ref="M85:M92" si="71">(L85-L84)/100</f>
        <v>180</v>
      </c>
      <c r="N85" s="682">
        <v>2</v>
      </c>
      <c r="O85" s="682">
        <f t="shared" ref="O85:O92" si="72">M85*N85</f>
        <v>360</v>
      </c>
      <c r="P85" s="681">
        <f t="shared" ref="P85:P92" si="73">O85+P84</f>
        <v>480</v>
      </c>
      <c r="Q85" s="680" t="b">
        <f t="shared" si="62"/>
        <v>0</v>
      </c>
      <c r="R85" s="682">
        <f t="shared" si="63"/>
        <v>0</v>
      </c>
      <c r="S85" s="682"/>
      <c r="T85" s="659"/>
      <c r="V85" s="442">
        <v>30000</v>
      </c>
      <c r="W85" s="683">
        <f t="shared" ref="W85:W92" si="74">(V85-V84)/100</f>
        <v>180</v>
      </c>
      <c r="X85" s="682">
        <v>2</v>
      </c>
      <c r="Y85" s="682">
        <f t="shared" ref="Y85:Y92" si="75">W85*X85</f>
        <v>360</v>
      </c>
      <c r="Z85" s="681">
        <f t="shared" ref="Z85:Z92" si="76">Y85+Z84</f>
        <v>480</v>
      </c>
      <c r="AA85" s="680" t="b">
        <f t="shared" si="64"/>
        <v>0</v>
      </c>
      <c r="AB85" s="682">
        <f t="shared" si="65"/>
        <v>0</v>
      </c>
      <c r="AC85" s="682"/>
      <c r="AD85" s="660"/>
      <c r="AF85" s="442">
        <v>30000</v>
      </c>
      <c r="AG85" s="683">
        <f t="shared" ref="AG85:AG92" si="77">(AF85-AF84)/100</f>
        <v>180</v>
      </c>
      <c r="AH85" s="682">
        <v>2</v>
      </c>
      <c r="AI85" s="682">
        <f t="shared" ref="AI85:AI92" si="78">AG85*AH85</f>
        <v>360</v>
      </c>
      <c r="AJ85" s="681">
        <f t="shared" ref="AJ85:AJ92" si="79">AI85+AJ84</f>
        <v>480</v>
      </c>
      <c r="AK85" s="680" t="b">
        <f t="shared" si="66"/>
        <v>0</v>
      </c>
      <c r="AL85" s="682">
        <f t="shared" si="67"/>
        <v>0</v>
      </c>
      <c r="AM85" s="682"/>
      <c r="AN85" s="661"/>
    </row>
    <row r="86" spans="2:40" x14ac:dyDescent="0.2">
      <c r="B86" s="442">
        <v>50000</v>
      </c>
      <c r="C86" s="683">
        <f t="shared" si="68"/>
        <v>200</v>
      </c>
      <c r="D86" s="682">
        <v>3</v>
      </c>
      <c r="E86" s="682">
        <f t="shared" si="69"/>
        <v>600</v>
      </c>
      <c r="F86" s="681">
        <f t="shared" si="70"/>
        <v>1080</v>
      </c>
      <c r="G86" s="680" t="b">
        <f t="shared" si="60"/>
        <v>0</v>
      </c>
      <c r="H86" s="682">
        <f t="shared" si="61"/>
        <v>0</v>
      </c>
      <c r="I86" s="682"/>
      <c r="J86" s="658"/>
      <c r="L86" s="442">
        <v>50000</v>
      </c>
      <c r="M86" s="683">
        <f t="shared" si="71"/>
        <v>200</v>
      </c>
      <c r="N86" s="682">
        <v>3</v>
      </c>
      <c r="O86" s="682">
        <f t="shared" si="72"/>
        <v>600</v>
      </c>
      <c r="P86" s="681">
        <f t="shared" si="73"/>
        <v>1080</v>
      </c>
      <c r="Q86" s="680" t="b">
        <f t="shared" si="62"/>
        <v>0</v>
      </c>
      <c r="R86" s="682">
        <f t="shared" si="63"/>
        <v>0</v>
      </c>
      <c r="S86" s="682"/>
      <c r="T86" s="659"/>
      <c r="V86" s="442">
        <v>50000</v>
      </c>
      <c r="W86" s="683">
        <f t="shared" si="74"/>
        <v>200</v>
      </c>
      <c r="X86" s="682">
        <v>3</v>
      </c>
      <c r="Y86" s="682">
        <f t="shared" si="75"/>
        <v>600</v>
      </c>
      <c r="Z86" s="681">
        <f t="shared" si="76"/>
        <v>1080</v>
      </c>
      <c r="AA86" s="680" t="b">
        <f t="shared" si="64"/>
        <v>0</v>
      </c>
      <c r="AB86" s="682">
        <f t="shared" si="65"/>
        <v>0</v>
      </c>
      <c r="AC86" s="682"/>
      <c r="AD86" s="660"/>
      <c r="AF86" s="442">
        <v>50000</v>
      </c>
      <c r="AG86" s="683">
        <f t="shared" si="77"/>
        <v>200</v>
      </c>
      <c r="AH86" s="682">
        <v>3</v>
      </c>
      <c r="AI86" s="682">
        <f t="shared" si="78"/>
        <v>600</v>
      </c>
      <c r="AJ86" s="681">
        <f t="shared" si="79"/>
        <v>1080</v>
      </c>
      <c r="AK86" s="680" t="b">
        <f t="shared" si="66"/>
        <v>0</v>
      </c>
      <c r="AL86" s="682">
        <f t="shared" si="67"/>
        <v>0</v>
      </c>
      <c r="AM86" s="682"/>
      <c r="AN86" s="661"/>
    </row>
    <row r="87" spans="2:40" x14ac:dyDescent="0.2">
      <c r="B87" s="442">
        <v>100000</v>
      </c>
      <c r="C87" s="683">
        <f t="shared" si="68"/>
        <v>500</v>
      </c>
      <c r="D87" s="682">
        <v>3.5</v>
      </c>
      <c r="E87" s="682">
        <f t="shared" si="69"/>
        <v>1750</v>
      </c>
      <c r="F87" s="681">
        <f t="shared" si="70"/>
        <v>2830</v>
      </c>
      <c r="G87" s="680" t="b">
        <f t="shared" si="60"/>
        <v>0</v>
      </c>
      <c r="H87" s="682">
        <f t="shared" si="61"/>
        <v>0</v>
      </c>
      <c r="I87" s="682"/>
      <c r="J87" s="658"/>
      <c r="L87" s="442">
        <v>100000</v>
      </c>
      <c r="M87" s="683">
        <f t="shared" si="71"/>
        <v>500</v>
      </c>
      <c r="N87" s="682">
        <v>3.5</v>
      </c>
      <c r="O87" s="682">
        <f t="shared" si="72"/>
        <v>1750</v>
      </c>
      <c r="P87" s="681">
        <f t="shared" si="73"/>
        <v>2830</v>
      </c>
      <c r="Q87" s="680" t="b">
        <f t="shared" si="62"/>
        <v>0</v>
      </c>
      <c r="R87" s="682">
        <f t="shared" si="63"/>
        <v>0</v>
      </c>
      <c r="S87" s="682"/>
      <c r="T87" s="659"/>
      <c r="V87" s="442">
        <v>100000</v>
      </c>
      <c r="W87" s="683">
        <f t="shared" si="74"/>
        <v>500</v>
      </c>
      <c r="X87" s="682">
        <v>3.5</v>
      </c>
      <c r="Y87" s="682">
        <f t="shared" si="75"/>
        <v>1750</v>
      </c>
      <c r="Z87" s="681">
        <f t="shared" si="76"/>
        <v>2830</v>
      </c>
      <c r="AA87" s="680" t="b">
        <f t="shared" si="64"/>
        <v>0</v>
      </c>
      <c r="AB87" s="682">
        <f t="shared" si="65"/>
        <v>0</v>
      </c>
      <c r="AC87" s="682"/>
      <c r="AD87" s="660"/>
      <c r="AF87" s="442">
        <v>100000</v>
      </c>
      <c r="AG87" s="683">
        <f t="shared" si="77"/>
        <v>500</v>
      </c>
      <c r="AH87" s="682">
        <v>3.5</v>
      </c>
      <c r="AI87" s="682">
        <f t="shared" si="78"/>
        <v>1750</v>
      </c>
      <c r="AJ87" s="681">
        <f t="shared" si="79"/>
        <v>2830</v>
      </c>
      <c r="AK87" s="680" t="b">
        <f t="shared" si="66"/>
        <v>0</v>
      </c>
      <c r="AL87" s="682">
        <f t="shared" si="67"/>
        <v>0</v>
      </c>
      <c r="AM87" s="682"/>
      <c r="AN87" s="661"/>
    </row>
    <row r="88" spans="2:40" x14ac:dyDescent="0.2">
      <c r="B88" s="442">
        <v>200000</v>
      </c>
      <c r="C88" s="683">
        <f t="shared" si="68"/>
        <v>1000</v>
      </c>
      <c r="D88" s="682">
        <v>4</v>
      </c>
      <c r="E88" s="682">
        <f t="shared" si="69"/>
        <v>4000</v>
      </c>
      <c r="F88" s="681">
        <f t="shared" si="70"/>
        <v>6830</v>
      </c>
      <c r="G88" s="680" t="b">
        <f t="shared" si="60"/>
        <v>0</v>
      </c>
      <c r="H88" s="682">
        <f t="shared" si="61"/>
        <v>0</v>
      </c>
      <c r="I88" s="682"/>
      <c r="J88" s="658"/>
      <c r="L88" s="442">
        <v>200000</v>
      </c>
      <c r="M88" s="683">
        <f t="shared" si="71"/>
        <v>1000</v>
      </c>
      <c r="N88" s="682">
        <v>4</v>
      </c>
      <c r="O88" s="682">
        <f t="shared" si="72"/>
        <v>4000</v>
      </c>
      <c r="P88" s="681">
        <f t="shared" si="73"/>
        <v>6830</v>
      </c>
      <c r="Q88" s="680" t="b">
        <f t="shared" si="62"/>
        <v>0</v>
      </c>
      <c r="R88" s="682">
        <f t="shared" si="63"/>
        <v>0</v>
      </c>
      <c r="S88" s="682"/>
      <c r="T88" s="659"/>
      <c r="V88" s="442">
        <v>200000</v>
      </c>
      <c r="W88" s="683">
        <f t="shared" si="74"/>
        <v>1000</v>
      </c>
      <c r="X88" s="682">
        <v>4</v>
      </c>
      <c r="Y88" s="682">
        <f t="shared" si="75"/>
        <v>4000</v>
      </c>
      <c r="Z88" s="681">
        <f t="shared" si="76"/>
        <v>6830</v>
      </c>
      <c r="AA88" s="680" t="b">
        <f t="shared" si="64"/>
        <v>0</v>
      </c>
      <c r="AB88" s="682">
        <f t="shared" si="65"/>
        <v>0</v>
      </c>
      <c r="AC88" s="682"/>
      <c r="AD88" s="660"/>
      <c r="AF88" s="442">
        <v>200000</v>
      </c>
      <c r="AG88" s="683">
        <f t="shared" si="77"/>
        <v>1000</v>
      </c>
      <c r="AH88" s="682">
        <v>4</v>
      </c>
      <c r="AI88" s="682">
        <f t="shared" si="78"/>
        <v>4000</v>
      </c>
      <c r="AJ88" s="681">
        <f t="shared" si="79"/>
        <v>6830</v>
      </c>
      <c r="AK88" s="680" t="b">
        <f t="shared" si="66"/>
        <v>0</v>
      </c>
      <c r="AL88" s="682">
        <f t="shared" si="67"/>
        <v>0</v>
      </c>
      <c r="AM88" s="682"/>
      <c r="AN88" s="661"/>
    </row>
    <row r="89" spans="2:40" x14ac:dyDescent="0.2">
      <c r="B89" s="442">
        <v>250000</v>
      </c>
      <c r="C89" s="683">
        <f t="shared" si="68"/>
        <v>500</v>
      </c>
      <c r="D89" s="682">
        <v>4.25</v>
      </c>
      <c r="E89" s="682">
        <f t="shared" si="69"/>
        <v>2125</v>
      </c>
      <c r="F89" s="681">
        <f t="shared" si="70"/>
        <v>8955</v>
      </c>
      <c r="G89" s="680" t="b">
        <f t="shared" si="60"/>
        <v>0</v>
      </c>
      <c r="H89" s="682">
        <f t="shared" si="61"/>
        <v>0</v>
      </c>
      <c r="I89" s="682"/>
      <c r="J89" s="658"/>
      <c r="L89" s="442">
        <v>250000</v>
      </c>
      <c r="M89" s="683">
        <f t="shared" si="71"/>
        <v>500</v>
      </c>
      <c r="N89" s="682">
        <v>4.25</v>
      </c>
      <c r="O89" s="682">
        <f t="shared" si="72"/>
        <v>2125</v>
      </c>
      <c r="P89" s="681">
        <f t="shared" si="73"/>
        <v>8955</v>
      </c>
      <c r="Q89" s="680" t="b">
        <f t="shared" si="62"/>
        <v>0</v>
      </c>
      <c r="R89" s="682">
        <f t="shared" si="63"/>
        <v>0</v>
      </c>
      <c r="S89" s="682"/>
      <c r="T89" s="659"/>
      <c r="V89" s="442">
        <v>250000</v>
      </c>
      <c r="W89" s="683">
        <f t="shared" si="74"/>
        <v>500</v>
      </c>
      <c r="X89" s="682">
        <v>4.25</v>
      </c>
      <c r="Y89" s="682">
        <f t="shared" si="75"/>
        <v>2125</v>
      </c>
      <c r="Z89" s="681">
        <f t="shared" si="76"/>
        <v>8955</v>
      </c>
      <c r="AA89" s="680" t="b">
        <f t="shared" si="64"/>
        <v>0</v>
      </c>
      <c r="AB89" s="682">
        <f t="shared" si="65"/>
        <v>0</v>
      </c>
      <c r="AC89" s="682"/>
      <c r="AD89" s="660"/>
      <c r="AF89" s="442">
        <v>250000</v>
      </c>
      <c r="AG89" s="683">
        <f t="shared" si="77"/>
        <v>500</v>
      </c>
      <c r="AH89" s="682">
        <v>4.25</v>
      </c>
      <c r="AI89" s="682">
        <f t="shared" si="78"/>
        <v>2125</v>
      </c>
      <c r="AJ89" s="681">
        <f t="shared" si="79"/>
        <v>8955</v>
      </c>
      <c r="AK89" s="680" t="b">
        <f t="shared" si="66"/>
        <v>0</v>
      </c>
      <c r="AL89" s="682">
        <f t="shared" si="67"/>
        <v>0</v>
      </c>
      <c r="AM89" s="682"/>
      <c r="AN89" s="661"/>
    </row>
    <row r="90" spans="2:40" x14ac:dyDescent="0.2">
      <c r="B90" s="442">
        <v>300000</v>
      </c>
      <c r="C90" s="683">
        <f t="shared" si="68"/>
        <v>500</v>
      </c>
      <c r="D90" s="682">
        <v>4.75</v>
      </c>
      <c r="E90" s="682">
        <f t="shared" si="69"/>
        <v>2375</v>
      </c>
      <c r="F90" s="681">
        <f t="shared" si="70"/>
        <v>11330</v>
      </c>
      <c r="G90" s="680" t="b">
        <f t="shared" si="60"/>
        <v>0</v>
      </c>
      <c r="H90" s="682">
        <f t="shared" si="61"/>
        <v>0</v>
      </c>
      <c r="I90" s="682"/>
      <c r="J90" s="658"/>
      <c r="L90" s="442">
        <v>300000</v>
      </c>
      <c r="M90" s="683">
        <f t="shared" si="71"/>
        <v>500</v>
      </c>
      <c r="N90" s="682">
        <v>4.75</v>
      </c>
      <c r="O90" s="682">
        <f t="shared" si="72"/>
        <v>2375</v>
      </c>
      <c r="P90" s="681">
        <f t="shared" si="73"/>
        <v>11330</v>
      </c>
      <c r="Q90" s="680" t="b">
        <f t="shared" si="62"/>
        <v>0</v>
      </c>
      <c r="R90" s="682">
        <f t="shared" si="63"/>
        <v>0</v>
      </c>
      <c r="S90" s="682"/>
      <c r="T90" s="659"/>
      <c r="V90" s="442">
        <v>300000</v>
      </c>
      <c r="W90" s="683">
        <f t="shared" si="74"/>
        <v>500</v>
      </c>
      <c r="X90" s="682">
        <v>4.75</v>
      </c>
      <c r="Y90" s="682">
        <f t="shared" si="75"/>
        <v>2375</v>
      </c>
      <c r="Z90" s="681">
        <f t="shared" si="76"/>
        <v>11330</v>
      </c>
      <c r="AA90" s="680" t="b">
        <f t="shared" si="64"/>
        <v>0</v>
      </c>
      <c r="AB90" s="682">
        <f t="shared" si="65"/>
        <v>0</v>
      </c>
      <c r="AC90" s="682"/>
      <c r="AD90" s="660"/>
      <c r="AF90" s="442">
        <v>300000</v>
      </c>
      <c r="AG90" s="683">
        <f t="shared" si="77"/>
        <v>500</v>
      </c>
      <c r="AH90" s="682">
        <v>4.75</v>
      </c>
      <c r="AI90" s="682">
        <f t="shared" si="78"/>
        <v>2375</v>
      </c>
      <c r="AJ90" s="681">
        <f t="shared" si="79"/>
        <v>11330</v>
      </c>
      <c r="AK90" s="680" t="b">
        <f t="shared" si="66"/>
        <v>0</v>
      </c>
      <c r="AL90" s="682">
        <f t="shared" si="67"/>
        <v>0</v>
      </c>
      <c r="AM90" s="682"/>
      <c r="AN90" s="661"/>
    </row>
    <row r="91" spans="2:40" x14ac:dyDescent="0.2">
      <c r="B91" s="442">
        <v>500000</v>
      </c>
      <c r="C91" s="683">
        <f t="shared" si="68"/>
        <v>2000</v>
      </c>
      <c r="D91" s="682">
        <v>5</v>
      </c>
      <c r="E91" s="682">
        <f t="shared" si="69"/>
        <v>10000</v>
      </c>
      <c r="F91" s="681">
        <f t="shared" si="70"/>
        <v>21330</v>
      </c>
      <c r="G91" s="680" t="b">
        <f t="shared" si="60"/>
        <v>0</v>
      </c>
      <c r="H91" s="682">
        <f t="shared" si="61"/>
        <v>0</v>
      </c>
      <c r="I91" s="682"/>
      <c r="J91" s="658"/>
      <c r="L91" s="442">
        <v>500000</v>
      </c>
      <c r="M91" s="683">
        <f t="shared" si="71"/>
        <v>2000</v>
      </c>
      <c r="N91" s="682">
        <v>5</v>
      </c>
      <c r="O91" s="682">
        <f t="shared" si="72"/>
        <v>10000</v>
      </c>
      <c r="P91" s="681">
        <f t="shared" si="73"/>
        <v>21330</v>
      </c>
      <c r="Q91" s="680" t="b">
        <f t="shared" si="62"/>
        <v>0</v>
      </c>
      <c r="R91" s="682">
        <f t="shared" si="63"/>
        <v>0</v>
      </c>
      <c r="S91" s="682"/>
      <c r="T91" s="659"/>
      <c r="V91" s="442">
        <v>500000</v>
      </c>
      <c r="W91" s="683">
        <f t="shared" si="74"/>
        <v>2000</v>
      </c>
      <c r="X91" s="682">
        <v>5</v>
      </c>
      <c r="Y91" s="682">
        <f t="shared" si="75"/>
        <v>10000</v>
      </c>
      <c r="Z91" s="681">
        <f t="shared" si="76"/>
        <v>21330</v>
      </c>
      <c r="AA91" s="680" t="b">
        <f t="shared" si="64"/>
        <v>0</v>
      </c>
      <c r="AB91" s="682">
        <f t="shared" si="65"/>
        <v>0</v>
      </c>
      <c r="AC91" s="682"/>
      <c r="AD91" s="660"/>
      <c r="AF91" s="442">
        <v>500000</v>
      </c>
      <c r="AG91" s="683">
        <f t="shared" si="77"/>
        <v>2000</v>
      </c>
      <c r="AH91" s="682">
        <v>5</v>
      </c>
      <c r="AI91" s="682">
        <f t="shared" si="78"/>
        <v>10000</v>
      </c>
      <c r="AJ91" s="681">
        <f t="shared" si="79"/>
        <v>21330</v>
      </c>
      <c r="AK91" s="680" t="b">
        <f t="shared" si="66"/>
        <v>0</v>
      </c>
      <c r="AL91" s="682">
        <f t="shared" si="67"/>
        <v>0</v>
      </c>
      <c r="AM91" s="682"/>
      <c r="AN91" s="661"/>
    </row>
    <row r="92" spans="2:40" x14ac:dyDescent="0.2">
      <c r="B92" s="442">
        <f>IF(B95&lt;=B91,B91+1,B95)</f>
        <v>500001</v>
      </c>
      <c r="C92" s="683">
        <f t="shared" si="68"/>
        <v>0.01</v>
      </c>
      <c r="D92" s="682">
        <v>5.5</v>
      </c>
      <c r="E92" s="682">
        <f t="shared" si="69"/>
        <v>5.5E-2</v>
      </c>
      <c r="F92" s="681">
        <f t="shared" si="70"/>
        <v>21330.055</v>
      </c>
      <c r="G92" s="680" t="b">
        <f>IF(B95&gt;B91,TRUE,FALSE)</f>
        <v>0</v>
      </c>
      <c r="H92" s="682">
        <f>IF(G92=TRUE,(B$95-B92)/100*D92+F92,0)</f>
        <v>0</v>
      </c>
      <c r="I92" s="682"/>
      <c r="J92" s="658"/>
      <c r="L92" s="442">
        <f>IF(L95&lt;=L91,L91+1,L95)</f>
        <v>500001</v>
      </c>
      <c r="M92" s="683">
        <f t="shared" si="71"/>
        <v>0.01</v>
      </c>
      <c r="N92" s="682">
        <v>5.5</v>
      </c>
      <c r="O92" s="682">
        <f t="shared" si="72"/>
        <v>5.5E-2</v>
      </c>
      <c r="P92" s="681">
        <f t="shared" si="73"/>
        <v>21330.055</v>
      </c>
      <c r="Q92" s="680" t="b">
        <f>IF(L95&gt;L91,TRUE,FALSE)</f>
        <v>0</v>
      </c>
      <c r="R92" s="682">
        <f>IF(Q92=TRUE,(L$95-L92)/100*N92+P92,0)</f>
        <v>0</v>
      </c>
      <c r="S92" s="682"/>
      <c r="T92" s="659"/>
      <c r="V92" s="442">
        <f>IF(V95&lt;=V91,V91+1,V95)</f>
        <v>500001</v>
      </c>
      <c r="W92" s="683">
        <f t="shared" si="74"/>
        <v>0.01</v>
      </c>
      <c r="X92" s="682">
        <v>5.5</v>
      </c>
      <c r="Y92" s="682">
        <f t="shared" si="75"/>
        <v>5.5E-2</v>
      </c>
      <c r="Z92" s="681">
        <f t="shared" si="76"/>
        <v>21330.055</v>
      </c>
      <c r="AA92" s="680" t="b">
        <f>IF(V95&gt;V91,TRUE,FALSE)</f>
        <v>0</v>
      </c>
      <c r="AB92" s="682">
        <f>IF(AA92=TRUE,(V$95-V92)/100*X92+Z92,0)</f>
        <v>0</v>
      </c>
      <c r="AC92" s="682"/>
      <c r="AD92" s="660"/>
      <c r="AF92" s="442">
        <f>IF(AF95&lt;=AF91,AF91+1,AF95)</f>
        <v>500001</v>
      </c>
      <c r="AG92" s="683">
        <f t="shared" si="77"/>
        <v>0.01</v>
      </c>
      <c r="AH92" s="682">
        <v>5.5</v>
      </c>
      <c r="AI92" s="682">
        <f t="shared" si="78"/>
        <v>5.5E-2</v>
      </c>
      <c r="AJ92" s="681">
        <f t="shared" si="79"/>
        <v>21330.055</v>
      </c>
      <c r="AK92" s="680" t="b">
        <f>IF(AF95&gt;AF91,TRUE,FALSE)</f>
        <v>0</v>
      </c>
      <c r="AL92" s="682">
        <f>IF(AK92=TRUE,(AF$95-AF92)/100*AH92+AJ92,0)</f>
        <v>0</v>
      </c>
      <c r="AM92" s="682"/>
      <c r="AN92" s="661"/>
    </row>
    <row r="93" spans="2:40" x14ac:dyDescent="0.2">
      <c r="B93" s="682"/>
      <c r="J93" s="658"/>
      <c r="L93" s="682"/>
      <c r="T93" s="659"/>
      <c r="V93" s="682"/>
      <c r="AD93" s="660"/>
      <c r="AF93" s="682"/>
      <c r="AN93" s="661"/>
    </row>
    <row r="94" spans="2:40" x14ac:dyDescent="0.2">
      <c r="B94" s="185" t="s">
        <v>372</v>
      </c>
      <c r="J94" s="658"/>
      <c r="L94" s="185" t="s">
        <v>372</v>
      </c>
      <c r="T94" s="659"/>
      <c r="V94" s="185" t="s">
        <v>372</v>
      </c>
      <c r="AD94" s="660"/>
      <c r="AF94" s="185" t="s">
        <v>372</v>
      </c>
      <c r="AN94" s="661"/>
    </row>
    <row r="95" spans="2:40" x14ac:dyDescent="0.2">
      <c r="B95" s="665">
        <f>'Stamp Duty'!D7</f>
        <v>0</v>
      </c>
      <c r="E95" s="442"/>
      <c r="F95" s="442"/>
      <c r="J95" s="658"/>
      <c r="L95" s="665">
        <f>'Stamp Duty'!N7</f>
        <v>0</v>
      </c>
      <c r="N95" s="442"/>
      <c r="O95" s="442"/>
      <c r="P95" s="442"/>
      <c r="T95" s="659"/>
      <c r="V95" s="665">
        <f>'Stamp Duty'!X7</f>
        <v>0</v>
      </c>
      <c r="Y95" s="442"/>
      <c r="Z95" s="442"/>
      <c r="AD95" s="660"/>
      <c r="AF95" s="665">
        <f>'Stamp Duty'!AH7</f>
        <v>0</v>
      </c>
      <c r="AI95" s="442"/>
      <c r="AJ95" s="442"/>
      <c r="AN95" s="661"/>
    </row>
    <row r="96" spans="2:40" x14ac:dyDescent="0.2">
      <c r="B96" s="185" t="s">
        <v>373</v>
      </c>
      <c r="E96" s="442"/>
      <c r="F96" s="683"/>
      <c r="J96" s="658"/>
      <c r="L96" s="185" t="s">
        <v>373</v>
      </c>
      <c r="N96" s="442"/>
      <c r="O96" s="442"/>
      <c r="P96" s="683"/>
      <c r="T96" s="659"/>
      <c r="V96" s="185" t="s">
        <v>373</v>
      </c>
      <c r="Y96" s="442"/>
      <c r="Z96" s="683"/>
      <c r="AD96" s="660"/>
      <c r="AF96" s="185" t="s">
        <v>373</v>
      </c>
      <c r="AI96" s="442"/>
      <c r="AJ96" s="683"/>
      <c r="AN96" s="661"/>
    </row>
    <row r="97" spans="1:43" x14ac:dyDescent="0.2">
      <c r="B97" s="665">
        <f>'Stamp Duty'!D8</f>
        <v>0</v>
      </c>
      <c r="F97" s="442"/>
      <c r="J97" s="658"/>
      <c r="L97" s="665">
        <f>'Stamp Duty'!N8</f>
        <v>0</v>
      </c>
      <c r="O97" s="689"/>
      <c r="P97" s="442"/>
      <c r="T97" s="659"/>
      <c r="V97" s="665">
        <f>'Stamp Duty'!X8</f>
        <v>0</v>
      </c>
      <c r="Z97" s="442"/>
      <c r="AD97" s="660"/>
      <c r="AF97" s="665">
        <f>'Stamp Duty'!AH8</f>
        <v>0</v>
      </c>
      <c r="AJ97" s="442"/>
      <c r="AN97" s="661"/>
    </row>
    <row r="98" spans="1:43" x14ac:dyDescent="0.2">
      <c r="B98" s="682">
        <f>IF(B97&lt;400,0,IF(B97&lt;6000,10,(B97-6000)*0.0045+10))</f>
        <v>0</v>
      </c>
      <c r="E98" s="682"/>
      <c r="F98" s="682"/>
      <c r="J98" s="658"/>
      <c r="L98" s="682">
        <f>IF(L97&lt;400,0,IF(L97&lt;6000,10,(L97-6000)*0.0045+10))</f>
        <v>0</v>
      </c>
      <c r="O98" s="682"/>
      <c r="P98" s="682"/>
      <c r="T98" s="659"/>
      <c r="V98" s="682">
        <f>IF(V97&lt;400,0,IF(V97&lt;6000,10,(V97-6000)*0.0045+10))</f>
        <v>0</v>
      </c>
      <c r="Y98" s="682"/>
      <c r="Z98" s="682"/>
      <c r="AD98" s="660"/>
      <c r="AF98" s="682">
        <f>IF(AF97&lt;400,0,IF(AF97&lt;6000,10,(AF97-6000)*0.0045+10))</f>
        <v>0</v>
      </c>
      <c r="AI98" s="682"/>
      <c r="AJ98" s="682"/>
      <c r="AN98" s="661"/>
    </row>
    <row r="99" spans="1:43" x14ac:dyDescent="0.2">
      <c r="B99" s="682" t="s">
        <v>374</v>
      </c>
      <c r="F99" s="682"/>
      <c r="J99" s="658"/>
      <c r="L99" s="682" t="s">
        <v>374</v>
      </c>
      <c r="P99" s="682"/>
      <c r="T99" s="659"/>
      <c r="V99" s="682" t="s">
        <v>374</v>
      </c>
      <c r="Z99" s="682"/>
      <c r="AD99" s="660"/>
      <c r="AF99" s="682" t="s">
        <v>374</v>
      </c>
      <c r="AJ99" s="682"/>
      <c r="AN99" s="661"/>
    </row>
    <row r="100" spans="1:43" x14ac:dyDescent="0.2">
      <c r="B100" s="185" t="s">
        <v>369</v>
      </c>
      <c r="J100" s="658"/>
      <c r="L100" s="185" t="s">
        <v>369</v>
      </c>
      <c r="T100" s="659"/>
      <c r="V100" s="185" t="s">
        <v>369</v>
      </c>
      <c r="AD100" s="660"/>
      <c r="AF100" s="185" t="s">
        <v>369</v>
      </c>
      <c r="AN100" s="661"/>
    </row>
    <row r="101" spans="1:43" x14ac:dyDescent="0.2">
      <c r="A101" s="193"/>
      <c r="B101" s="193"/>
      <c r="C101" s="193"/>
      <c r="D101" s="193"/>
      <c r="E101" s="193"/>
      <c r="F101" s="193"/>
      <c r="G101" s="193"/>
      <c r="H101" s="193"/>
      <c r="I101" s="193"/>
      <c r="J101" s="675"/>
      <c r="K101" s="193"/>
      <c r="L101" s="193"/>
      <c r="M101" s="193"/>
      <c r="N101" s="193"/>
      <c r="O101" s="193"/>
      <c r="P101" s="193"/>
      <c r="Q101" s="193"/>
      <c r="R101" s="193"/>
      <c r="S101" s="193"/>
      <c r="T101" s="676"/>
      <c r="U101" s="193"/>
      <c r="V101" s="193"/>
      <c r="W101" s="193"/>
      <c r="X101" s="193"/>
      <c r="Y101" s="193"/>
      <c r="Z101" s="193"/>
      <c r="AA101" s="193"/>
      <c r="AB101" s="193"/>
      <c r="AC101" s="193"/>
      <c r="AD101" s="677"/>
      <c r="AE101" s="193"/>
      <c r="AF101" s="193"/>
      <c r="AG101" s="193"/>
      <c r="AH101" s="193"/>
      <c r="AI101" s="193"/>
      <c r="AJ101" s="193"/>
      <c r="AK101" s="193"/>
      <c r="AL101" s="193"/>
      <c r="AM101" s="193"/>
      <c r="AN101" s="678"/>
    </row>
    <row r="102" spans="1:43" x14ac:dyDescent="0.2">
      <c r="J102" s="658"/>
      <c r="T102" s="659"/>
      <c r="AD102" s="660"/>
      <c r="AN102" s="661"/>
      <c r="AP102" s="308" t="s">
        <v>377</v>
      </c>
    </row>
    <row r="103" spans="1:43" ht="15.75" x14ac:dyDescent="0.25">
      <c r="B103" s="679" t="s">
        <v>311</v>
      </c>
      <c r="D103" s="185" t="s">
        <v>368</v>
      </c>
      <c r="E103" s="662" t="s">
        <v>369</v>
      </c>
      <c r="H103" s="680" t="s">
        <v>370</v>
      </c>
      <c r="I103" s="680" t="s">
        <v>371</v>
      </c>
      <c r="J103" s="658"/>
      <c r="L103" s="679" t="s">
        <v>311</v>
      </c>
      <c r="N103" s="185" t="s">
        <v>368</v>
      </c>
      <c r="O103" s="662" t="s">
        <v>369</v>
      </c>
      <c r="R103" s="680" t="s">
        <v>370</v>
      </c>
      <c r="S103" s="680" t="s">
        <v>371</v>
      </c>
      <c r="T103" s="659"/>
      <c r="V103" s="679" t="s">
        <v>311</v>
      </c>
      <c r="X103" s="185" t="s">
        <v>368</v>
      </c>
      <c r="Y103" s="662" t="s">
        <v>369</v>
      </c>
      <c r="AB103" s="680" t="s">
        <v>370</v>
      </c>
      <c r="AC103" s="680" t="s">
        <v>371</v>
      </c>
      <c r="AD103" s="660"/>
      <c r="AF103" s="679" t="s">
        <v>311</v>
      </c>
      <c r="AH103" s="185" t="s">
        <v>368</v>
      </c>
      <c r="AI103" s="662" t="s">
        <v>369</v>
      </c>
      <c r="AL103" s="680" t="s">
        <v>370</v>
      </c>
      <c r="AM103" s="680" t="s">
        <v>371</v>
      </c>
      <c r="AN103" s="661"/>
    </row>
    <row r="104" spans="1:43" x14ac:dyDescent="0.2">
      <c r="B104" s="442"/>
      <c r="H104" s="681">
        <f>SUM(H105:H114)</f>
        <v>0</v>
      </c>
      <c r="I104" s="686">
        <v>0</v>
      </c>
      <c r="J104" s="658"/>
      <c r="L104" s="442"/>
      <c r="R104" s="681">
        <f>SUM(R105:R114)</f>
        <v>0</v>
      </c>
      <c r="S104" s="681">
        <f>L120</f>
        <v>0</v>
      </c>
      <c r="T104" s="659"/>
      <c r="V104" s="442"/>
      <c r="AB104" s="681">
        <f>SUM(AB105:AB114)</f>
        <v>0</v>
      </c>
      <c r="AC104" s="681">
        <f>V120</f>
        <v>0</v>
      </c>
      <c r="AD104" s="660"/>
      <c r="AF104" s="442"/>
      <c r="AL104" s="681">
        <f>SUM(AL105:AL114)</f>
        <v>0</v>
      </c>
      <c r="AM104" s="681">
        <f>AF120</f>
        <v>0</v>
      </c>
      <c r="AN104" s="661"/>
    </row>
    <row r="105" spans="1:43" x14ac:dyDescent="0.2">
      <c r="B105" s="442">
        <v>0</v>
      </c>
      <c r="D105" s="682">
        <v>2</v>
      </c>
      <c r="E105" s="682">
        <v>0</v>
      </c>
      <c r="F105" s="681">
        <f>E105</f>
        <v>0</v>
      </c>
      <c r="G105" s="680" t="b">
        <f t="shared" ref="G105:G113" si="80">AND(B$117&gt;=B105,B$117&lt;B106)</f>
        <v>0</v>
      </c>
      <c r="H105" s="682">
        <f t="shared" ref="H105:H113" si="81">IF(G105=TRUE,(B$117-B105)/100*D106+F105,0)</f>
        <v>0</v>
      </c>
      <c r="I105" s="682"/>
      <c r="J105" s="658"/>
      <c r="L105" s="442">
        <v>0</v>
      </c>
      <c r="N105" s="688">
        <v>1.9</v>
      </c>
      <c r="O105" s="682">
        <v>0</v>
      </c>
      <c r="P105" s="681">
        <f>O105</f>
        <v>0</v>
      </c>
      <c r="Q105" s="680" t="b">
        <f t="shared" ref="Q105:Q113" si="82">AND(L$117&gt;=L105,L$117&lt;L106)</f>
        <v>0</v>
      </c>
      <c r="R105" s="682">
        <f t="shared" ref="R105:R113" si="83">IF(Q105=TRUE,(L$117-L105)/100*N106+P105,0)</f>
        <v>0</v>
      </c>
      <c r="S105" s="682"/>
      <c r="T105" s="659"/>
      <c r="V105" s="442">
        <v>0</v>
      </c>
      <c r="X105" s="682">
        <v>2</v>
      </c>
      <c r="Y105" s="682">
        <v>0</v>
      </c>
      <c r="Z105" s="681">
        <f>Y105</f>
        <v>0</v>
      </c>
      <c r="AA105" s="680" t="b">
        <f t="shared" ref="AA105:AA113" si="84">AND(V$117&gt;=V105,V$117&lt;V106)</f>
        <v>0</v>
      </c>
      <c r="AB105" s="682">
        <f t="shared" ref="AB105:AB113" si="85">IF(AA105=TRUE,(V$117-V105)/100*X106+Z105,0)</f>
        <v>0</v>
      </c>
      <c r="AC105" s="682"/>
      <c r="AD105" s="660"/>
      <c r="AF105" s="442">
        <v>0</v>
      </c>
      <c r="AH105" s="682">
        <v>2</v>
      </c>
      <c r="AI105" s="682">
        <v>0</v>
      </c>
      <c r="AJ105" s="681">
        <f>AI105</f>
        <v>0</v>
      </c>
      <c r="AK105" s="680" t="b">
        <f t="shared" ref="AK105:AK113" si="86">AND(AF$117&gt;=AF105,AF$117&lt;AF106)</f>
        <v>0</v>
      </c>
      <c r="AL105" s="682">
        <f t="shared" ref="AL105:AL113" si="87">IF(AK105=TRUE,(AF$117-AF105)/100*AH106+AJ105,0)</f>
        <v>0</v>
      </c>
      <c r="AM105" s="682"/>
      <c r="AN105" s="661"/>
    </row>
    <row r="106" spans="1:43" x14ac:dyDescent="0.2">
      <c r="B106" s="442">
        <v>0</v>
      </c>
      <c r="C106" s="683">
        <f>B106/100</f>
        <v>0</v>
      </c>
      <c r="D106" s="682">
        <v>2</v>
      </c>
      <c r="E106" s="682">
        <f>D106*C106</f>
        <v>0</v>
      </c>
      <c r="F106" s="681">
        <f>E106</f>
        <v>0</v>
      </c>
      <c r="G106" s="680" t="b">
        <f t="shared" si="80"/>
        <v>0</v>
      </c>
      <c r="H106" s="682">
        <f t="shared" si="81"/>
        <v>0</v>
      </c>
      <c r="I106" s="682"/>
      <c r="J106" s="658"/>
      <c r="L106" s="442">
        <v>0</v>
      </c>
      <c r="M106" s="683">
        <f>L106/100</f>
        <v>0</v>
      </c>
      <c r="N106" s="688">
        <f>N105</f>
        <v>1.9</v>
      </c>
      <c r="O106" s="682">
        <f>N106*M106</f>
        <v>0</v>
      </c>
      <c r="P106" s="681">
        <f>O106</f>
        <v>0</v>
      </c>
      <c r="Q106" s="680" t="b">
        <f t="shared" si="82"/>
        <v>0</v>
      </c>
      <c r="R106" s="682">
        <f t="shared" si="83"/>
        <v>0</v>
      </c>
      <c r="S106" s="682"/>
      <c r="T106" s="659"/>
      <c r="V106" s="442">
        <v>0</v>
      </c>
      <c r="W106" s="683">
        <f>V106/100</f>
        <v>0</v>
      </c>
      <c r="X106" s="682">
        <v>2</v>
      </c>
      <c r="Y106" s="682">
        <f>X106*W106</f>
        <v>0</v>
      </c>
      <c r="Z106" s="681">
        <f>Y106</f>
        <v>0</v>
      </c>
      <c r="AA106" s="680" t="b">
        <f t="shared" si="84"/>
        <v>0</v>
      </c>
      <c r="AB106" s="682">
        <f t="shared" si="85"/>
        <v>0</v>
      </c>
      <c r="AC106" s="682"/>
      <c r="AD106" s="660"/>
      <c r="AF106" s="442">
        <v>0</v>
      </c>
      <c r="AG106" s="683">
        <f>AF106/100</f>
        <v>0</v>
      </c>
      <c r="AH106" s="682">
        <v>2</v>
      </c>
      <c r="AI106" s="682">
        <f>AH106*AG106</f>
        <v>0</v>
      </c>
      <c r="AJ106" s="681">
        <f>AI106</f>
        <v>0</v>
      </c>
      <c r="AK106" s="680" t="b">
        <f t="shared" si="86"/>
        <v>0</v>
      </c>
      <c r="AL106" s="682">
        <f t="shared" si="87"/>
        <v>0</v>
      </c>
      <c r="AM106" s="682"/>
      <c r="AN106" s="661"/>
    </row>
    <row r="107" spans="1:43" x14ac:dyDescent="0.2">
      <c r="B107" s="442">
        <v>0</v>
      </c>
      <c r="C107" s="683">
        <f t="shared" ref="C107:C114" si="88">(B107-B106)/100</f>
        <v>0</v>
      </c>
      <c r="D107" s="682">
        <v>2</v>
      </c>
      <c r="E107" s="682">
        <f t="shared" ref="E107:E114" si="89">C107*D107</f>
        <v>0</v>
      </c>
      <c r="F107" s="681">
        <f t="shared" ref="F107:F114" si="90">E107+F106</f>
        <v>0</v>
      </c>
      <c r="G107" s="680" t="b">
        <f t="shared" si="80"/>
        <v>0</v>
      </c>
      <c r="H107" s="682">
        <f t="shared" si="81"/>
        <v>0</v>
      </c>
      <c r="I107" s="682"/>
      <c r="J107" s="658"/>
      <c r="L107" s="442">
        <v>0</v>
      </c>
      <c r="M107" s="683">
        <f t="shared" ref="M107:M114" si="91">(L107-L106)/100</f>
        <v>0</v>
      </c>
      <c r="N107" s="688">
        <f t="shared" ref="N107:N110" si="92">N106</f>
        <v>1.9</v>
      </c>
      <c r="O107" s="682">
        <f t="shared" ref="O107:O114" si="93">M107*N107</f>
        <v>0</v>
      </c>
      <c r="P107" s="681">
        <f t="shared" ref="P107:P114" si="94">O107+P106</f>
        <v>0</v>
      </c>
      <c r="Q107" s="680" t="b">
        <f t="shared" si="82"/>
        <v>0</v>
      </c>
      <c r="R107" s="682">
        <f t="shared" si="83"/>
        <v>0</v>
      </c>
      <c r="S107" s="682"/>
      <c r="T107" s="659"/>
      <c r="V107" s="442">
        <v>0</v>
      </c>
      <c r="W107" s="683">
        <f t="shared" ref="W107:W114" si="95">(V107-V106)/100</f>
        <v>0</v>
      </c>
      <c r="X107" s="682">
        <v>2</v>
      </c>
      <c r="Y107" s="682">
        <f t="shared" ref="Y107:Y114" si="96">W107*X107</f>
        <v>0</v>
      </c>
      <c r="Z107" s="681">
        <f t="shared" ref="Z107:Z114" si="97">Y107+Z106</f>
        <v>0</v>
      </c>
      <c r="AA107" s="680" t="b">
        <f t="shared" si="84"/>
        <v>0</v>
      </c>
      <c r="AB107" s="682">
        <f t="shared" si="85"/>
        <v>0</v>
      </c>
      <c r="AC107" s="682"/>
      <c r="AD107" s="660"/>
      <c r="AF107" s="442">
        <v>0</v>
      </c>
      <c r="AG107" s="683">
        <f t="shared" ref="AG107:AG114" si="98">(AF107-AF106)/100</f>
        <v>0</v>
      </c>
      <c r="AH107" s="682">
        <v>2</v>
      </c>
      <c r="AI107" s="682">
        <f t="shared" ref="AI107:AI114" si="99">AG107*AH107</f>
        <v>0</v>
      </c>
      <c r="AJ107" s="681">
        <f t="shared" ref="AJ107:AJ114" si="100">AI107+AJ106</f>
        <v>0</v>
      </c>
      <c r="AK107" s="680" t="b">
        <f t="shared" si="86"/>
        <v>0</v>
      </c>
      <c r="AL107" s="682">
        <f t="shared" si="87"/>
        <v>0</v>
      </c>
      <c r="AM107" s="682"/>
      <c r="AN107" s="661"/>
    </row>
    <row r="108" spans="1:43" x14ac:dyDescent="0.2">
      <c r="B108" s="442">
        <v>0</v>
      </c>
      <c r="C108" s="683">
        <f t="shared" si="88"/>
        <v>0</v>
      </c>
      <c r="D108" s="682">
        <v>2</v>
      </c>
      <c r="E108" s="682">
        <f t="shared" si="89"/>
        <v>0</v>
      </c>
      <c r="F108" s="681">
        <f t="shared" si="90"/>
        <v>0</v>
      </c>
      <c r="G108" s="680" t="b">
        <f t="shared" si="80"/>
        <v>0</v>
      </c>
      <c r="H108" s="682">
        <f t="shared" si="81"/>
        <v>0</v>
      </c>
      <c r="I108" s="682"/>
      <c r="J108" s="658"/>
      <c r="L108" s="442">
        <v>0</v>
      </c>
      <c r="M108" s="683">
        <f t="shared" si="91"/>
        <v>0</v>
      </c>
      <c r="N108" s="688">
        <f t="shared" si="92"/>
        <v>1.9</v>
      </c>
      <c r="O108" s="682">
        <f t="shared" si="93"/>
        <v>0</v>
      </c>
      <c r="P108" s="681">
        <f t="shared" si="94"/>
        <v>0</v>
      </c>
      <c r="Q108" s="680" t="b">
        <f t="shared" si="82"/>
        <v>0</v>
      </c>
      <c r="R108" s="682">
        <f t="shared" si="83"/>
        <v>0</v>
      </c>
      <c r="S108" s="682"/>
      <c r="T108" s="659"/>
      <c r="V108" s="442">
        <v>0</v>
      </c>
      <c r="W108" s="683">
        <f t="shared" si="95"/>
        <v>0</v>
      </c>
      <c r="X108" s="682">
        <v>2</v>
      </c>
      <c r="Y108" s="682">
        <f t="shared" si="96"/>
        <v>0</v>
      </c>
      <c r="Z108" s="681">
        <f t="shared" si="97"/>
        <v>0</v>
      </c>
      <c r="AA108" s="680" t="b">
        <f t="shared" si="84"/>
        <v>0</v>
      </c>
      <c r="AB108" s="682">
        <f t="shared" si="85"/>
        <v>0</v>
      </c>
      <c r="AC108" s="682"/>
      <c r="AD108" s="660"/>
      <c r="AF108" s="442">
        <v>0</v>
      </c>
      <c r="AG108" s="683">
        <f t="shared" si="98"/>
        <v>0</v>
      </c>
      <c r="AH108" s="682">
        <v>2</v>
      </c>
      <c r="AI108" s="682">
        <f t="shared" si="99"/>
        <v>0</v>
      </c>
      <c r="AJ108" s="681">
        <f t="shared" si="100"/>
        <v>0</v>
      </c>
      <c r="AK108" s="680" t="b">
        <f t="shared" si="86"/>
        <v>0</v>
      </c>
      <c r="AL108" s="682">
        <f t="shared" si="87"/>
        <v>0</v>
      </c>
      <c r="AM108" s="682"/>
      <c r="AN108" s="661"/>
    </row>
    <row r="109" spans="1:43" x14ac:dyDescent="0.2">
      <c r="B109" s="442">
        <v>0</v>
      </c>
      <c r="C109" s="683">
        <f t="shared" si="88"/>
        <v>0</v>
      </c>
      <c r="D109" s="682">
        <v>2</v>
      </c>
      <c r="E109" s="682">
        <f t="shared" si="89"/>
        <v>0</v>
      </c>
      <c r="F109" s="681">
        <f t="shared" si="90"/>
        <v>0</v>
      </c>
      <c r="G109" s="680" t="b">
        <f t="shared" si="80"/>
        <v>1</v>
      </c>
      <c r="H109" s="682">
        <f t="shared" si="81"/>
        <v>0</v>
      </c>
      <c r="I109" s="682"/>
      <c r="J109" s="658"/>
      <c r="L109" s="442">
        <v>0</v>
      </c>
      <c r="M109" s="683">
        <f t="shared" si="91"/>
        <v>0</v>
      </c>
      <c r="N109" s="688">
        <f t="shared" si="92"/>
        <v>1.9</v>
      </c>
      <c r="O109" s="682">
        <f t="shared" si="93"/>
        <v>0</v>
      </c>
      <c r="P109" s="681">
        <f t="shared" si="94"/>
        <v>0</v>
      </c>
      <c r="Q109" s="680" t="b">
        <f t="shared" si="82"/>
        <v>1</v>
      </c>
      <c r="R109" s="682">
        <f t="shared" si="83"/>
        <v>0</v>
      </c>
      <c r="S109" s="682"/>
      <c r="T109" s="659"/>
      <c r="V109" s="442">
        <v>0</v>
      </c>
      <c r="W109" s="683">
        <f t="shared" si="95"/>
        <v>0</v>
      </c>
      <c r="X109" s="682">
        <v>2</v>
      </c>
      <c r="Y109" s="682">
        <f t="shared" si="96"/>
        <v>0</v>
      </c>
      <c r="Z109" s="681">
        <f t="shared" si="97"/>
        <v>0</v>
      </c>
      <c r="AA109" s="680" t="b">
        <f t="shared" si="84"/>
        <v>1</v>
      </c>
      <c r="AB109" s="682">
        <f t="shared" si="85"/>
        <v>0</v>
      </c>
      <c r="AC109" s="682"/>
      <c r="AD109" s="660"/>
      <c r="AF109" s="442">
        <v>0</v>
      </c>
      <c r="AG109" s="683">
        <f t="shared" si="98"/>
        <v>0</v>
      </c>
      <c r="AH109" s="682">
        <v>2</v>
      </c>
      <c r="AI109" s="682">
        <f t="shared" si="99"/>
        <v>0</v>
      </c>
      <c r="AJ109" s="681">
        <f t="shared" si="100"/>
        <v>0</v>
      </c>
      <c r="AK109" s="680" t="b">
        <f t="shared" si="86"/>
        <v>1</v>
      </c>
      <c r="AL109" s="682">
        <f t="shared" si="87"/>
        <v>0</v>
      </c>
      <c r="AM109" s="682"/>
      <c r="AN109" s="661"/>
    </row>
    <row r="110" spans="1:43" x14ac:dyDescent="0.2">
      <c r="B110" s="442">
        <v>80000</v>
      </c>
      <c r="C110" s="683">
        <f t="shared" si="88"/>
        <v>800</v>
      </c>
      <c r="D110" s="682">
        <v>2</v>
      </c>
      <c r="E110" s="682">
        <f t="shared" si="89"/>
        <v>1600</v>
      </c>
      <c r="F110" s="681">
        <f t="shared" si="90"/>
        <v>1600</v>
      </c>
      <c r="G110" s="680" t="b">
        <f t="shared" si="80"/>
        <v>0</v>
      </c>
      <c r="H110" s="682">
        <f t="shared" si="81"/>
        <v>0</v>
      </c>
      <c r="I110" s="682"/>
      <c r="J110" s="658"/>
      <c r="L110" s="442">
        <v>80000</v>
      </c>
      <c r="M110" s="683">
        <f t="shared" si="91"/>
        <v>800</v>
      </c>
      <c r="N110" s="688">
        <f t="shared" si="92"/>
        <v>1.9</v>
      </c>
      <c r="O110" s="682">
        <f t="shared" si="93"/>
        <v>1520</v>
      </c>
      <c r="P110" s="681">
        <f t="shared" si="94"/>
        <v>1520</v>
      </c>
      <c r="Q110" s="680" t="b">
        <f t="shared" si="82"/>
        <v>0</v>
      </c>
      <c r="R110" s="682">
        <f t="shared" si="83"/>
        <v>0</v>
      </c>
      <c r="S110" s="682"/>
      <c r="T110" s="659"/>
      <c r="V110" s="442">
        <v>80000</v>
      </c>
      <c r="W110" s="683">
        <f t="shared" si="95"/>
        <v>800</v>
      </c>
      <c r="X110" s="682">
        <v>2</v>
      </c>
      <c r="Y110" s="682">
        <f t="shared" si="96"/>
        <v>1600</v>
      </c>
      <c r="Z110" s="681">
        <f t="shared" si="97"/>
        <v>1600</v>
      </c>
      <c r="AA110" s="680" t="b">
        <f t="shared" si="84"/>
        <v>0</v>
      </c>
      <c r="AB110" s="682">
        <f t="shared" si="85"/>
        <v>0</v>
      </c>
      <c r="AC110" s="682"/>
      <c r="AD110" s="660"/>
      <c r="AF110" s="442">
        <v>80000</v>
      </c>
      <c r="AG110" s="683">
        <f t="shared" si="98"/>
        <v>800</v>
      </c>
      <c r="AH110" s="682">
        <v>2</v>
      </c>
      <c r="AI110" s="682">
        <f t="shared" si="99"/>
        <v>1600</v>
      </c>
      <c r="AJ110" s="681">
        <f t="shared" si="100"/>
        <v>1600</v>
      </c>
      <c r="AK110" s="680" t="b">
        <f t="shared" si="86"/>
        <v>0</v>
      </c>
      <c r="AL110" s="682">
        <f t="shared" si="87"/>
        <v>0</v>
      </c>
      <c r="AM110" s="682"/>
      <c r="AN110" s="661"/>
    </row>
    <row r="111" spans="1:43" x14ac:dyDescent="0.2">
      <c r="B111" s="442">
        <v>100000</v>
      </c>
      <c r="C111" s="683">
        <f t="shared" si="88"/>
        <v>200</v>
      </c>
      <c r="D111" s="682">
        <v>3</v>
      </c>
      <c r="E111" s="682">
        <f t="shared" si="89"/>
        <v>600</v>
      </c>
      <c r="F111" s="681">
        <f t="shared" si="90"/>
        <v>2200</v>
      </c>
      <c r="G111" s="680" t="b">
        <f t="shared" si="80"/>
        <v>0</v>
      </c>
      <c r="H111" s="682">
        <f t="shared" si="81"/>
        <v>0</v>
      </c>
      <c r="I111" s="682"/>
      <c r="J111" s="658"/>
      <c r="L111" s="442">
        <v>100001</v>
      </c>
      <c r="M111" s="683">
        <f t="shared" si="91"/>
        <v>200.01</v>
      </c>
      <c r="N111" s="688">
        <v>2.85</v>
      </c>
      <c r="O111" s="682">
        <f t="shared" si="93"/>
        <v>570.02850000000001</v>
      </c>
      <c r="P111" s="681">
        <f t="shared" si="94"/>
        <v>2090.0284999999999</v>
      </c>
      <c r="Q111" s="680" t="b">
        <f t="shared" si="82"/>
        <v>0</v>
      </c>
      <c r="R111" s="682">
        <f t="shared" si="83"/>
        <v>0</v>
      </c>
      <c r="S111" s="682"/>
      <c r="T111" s="659"/>
      <c r="V111" s="442">
        <v>100000</v>
      </c>
      <c r="W111" s="683">
        <f t="shared" si="95"/>
        <v>200</v>
      </c>
      <c r="X111" s="682">
        <v>3</v>
      </c>
      <c r="Y111" s="682">
        <f t="shared" si="96"/>
        <v>600</v>
      </c>
      <c r="Z111" s="681">
        <f t="shared" si="97"/>
        <v>2200</v>
      </c>
      <c r="AA111" s="680" t="b">
        <f t="shared" si="84"/>
        <v>0</v>
      </c>
      <c r="AB111" s="682">
        <f t="shared" si="85"/>
        <v>0</v>
      </c>
      <c r="AC111" s="682"/>
      <c r="AD111" s="660"/>
      <c r="AF111" s="442">
        <v>100000</v>
      </c>
      <c r="AG111" s="683">
        <f t="shared" si="98"/>
        <v>200</v>
      </c>
      <c r="AH111" s="682">
        <v>3</v>
      </c>
      <c r="AI111" s="682">
        <f t="shared" si="99"/>
        <v>600</v>
      </c>
      <c r="AJ111" s="681">
        <f t="shared" si="100"/>
        <v>2200</v>
      </c>
      <c r="AK111" s="680" t="b">
        <f t="shared" si="86"/>
        <v>0</v>
      </c>
      <c r="AL111" s="682">
        <f t="shared" si="87"/>
        <v>0</v>
      </c>
      <c r="AM111" s="682"/>
      <c r="AN111" s="661"/>
      <c r="AP111" s="442"/>
      <c r="AQ111" s="690"/>
    </row>
    <row r="112" spans="1:43" x14ac:dyDescent="0.2">
      <c r="B112" s="442">
        <v>250000</v>
      </c>
      <c r="C112" s="683">
        <f t="shared" si="88"/>
        <v>1500</v>
      </c>
      <c r="D112" s="682">
        <v>4</v>
      </c>
      <c r="E112" s="682">
        <f t="shared" si="89"/>
        <v>6000</v>
      </c>
      <c r="F112" s="681">
        <f t="shared" si="90"/>
        <v>8200</v>
      </c>
      <c r="G112" s="680" t="b">
        <f t="shared" si="80"/>
        <v>0</v>
      </c>
      <c r="H112" s="682">
        <f t="shared" si="81"/>
        <v>0</v>
      </c>
      <c r="I112" s="682"/>
      <c r="J112" s="658"/>
      <c r="L112" s="442">
        <v>250001</v>
      </c>
      <c r="M112" s="683">
        <f t="shared" si="91"/>
        <v>1500</v>
      </c>
      <c r="N112" s="688">
        <v>3.8</v>
      </c>
      <c r="O112" s="682">
        <f t="shared" si="93"/>
        <v>5700</v>
      </c>
      <c r="P112" s="681">
        <f t="shared" si="94"/>
        <v>7790.0285000000003</v>
      </c>
      <c r="Q112" s="680" t="b">
        <f t="shared" si="82"/>
        <v>0</v>
      </c>
      <c r="R112" s="682">
        <f t="shared" si="83"/>
        <v>0</v>
      </c>
      <c r="S112" s="682"/>
      <c r="T112" s="659"/>
      <c r="V112" s="442">
        <v>250000</v>
      </c>
      <c r="W112" s="683">
        <f t="shared" si="95"/>
        <v>1500</v>
      </c>
      <c r="X112" s="682">
        <v>4</v>
      </c>
      <c r="Y112" s="682">
        <f t="shared" si="96"/>
        <v>6000</v>
      </c>
      <c r="Z112" s="681">
        <f t="shared" si="97"/>
        <v>8200</v>
      </c>
      <c r="AA112" s="680" t="b">
        <f t="shared" si="84"/>
        <v>0</v>
      </c>
      <c r="AB112" s="682">
        <f t="shared" si="85"/>
        <v>0</v>
      </c>
      <c r="AC112" s="682"/>
      <c r="AD112" s="660"/>
      <c r="AF112" s="442">
        <v>250000</v>
      </c>
      <c r="AG112" s="683">
        <f t="shared" si="98"/>
        <v>1500</v>
      </c>
      <c r="AH112" s="682">
        <v>4</v>
      </c>
      <c r="AI112" s="682">
        <f t="shared" si="99"/>
        <v>6000</v>
      </c>
      <c r="AJ112" s="681">
        <f t="shared" si="100"/>
        <v>8200</v>
      </c>
      <c r="AK112" s="680" t="b">
        <f t="shared" si="86"/>
        <v>0</v>
      </c>
      <c r="AL112" s="682">
        <f t="shared" si="87"/>
        <v>0</v>
      </c>
      <c r="AM112" s="682"/>
      <c r="AN112" s="661"/>
      <c r="AP112" s="442"/>
      <c r="AQ112" s="690"/>
    </row>
    <row r="113" spans="1:43" x14ac:dyDescent="0.2">
      <c r="B113" s="442">
        <v>500000</v>
      </c>
      <c r="C113" s="683">
        <f t="shared" si="88"/>
        <v>2500</v>
      </c>
      <c r="D113" s="682">
        <v>5</v>
      </c>
      <c r="E113" s="682">
        <f t="shared" si="89"/>
        <v>12500</v>
      </c>
      <c r="F113" s="681">
        <f t="shared" si="90"/>
        <v>20700</v>
      </c>
      <c r="G113" s="680" t="b">
        <f t="shared" si="80"/>
        <v>0</v>
      </c>
      <c r="H113" s="682">
        <f t="shared" si="81"/>
        <v>0</v>
      </c>
      <c r="I113" s="682"/>
      <c r="J113" s="658"/>
      <c r="L113" s="442">
        <v>500000</v>
      </c>
      <c r="M113" s="683">
        <f t="shared" si="91"/>
        <v>2499.9899999999998</v>
      </c>
      <c r="N113" s="688">
        <v>4.75</v>
      </c>
      <c r="O113" s="682">
        <f t="shared" si="93"/>
        <v>11874.952499999999</v>
      </c>
      <c r="P113" s="681">
        <f t="shared" si="94"/>
        <v>19664.981</v>
      </c>
      <c r="Q113" s="680" t="b">
        <f t="shared" si="82"/>
        <v>0</v>
      </c>
      <c r="R113" s="682">
        <f t="shared" si="83"/>
        <v>0</v>
      </c>
      <c r="S113" s="682"/>
      <c r="T113" s="659"/>
      <c r="V113" s="442">
        <v>500000</v>
      </c>
      <c r="W113" s="683">
        <f t="shared" si="95"/>
        <v>2500</v>
      </c>
      <c r="X113" s="682">
        <v>5</v>
      </c>
      <c r="Y113" s="682">
        <f t="shared" si="96"/>
        <v>12500</v>
      </c>
      <c r="Z113" s="681">
        <f t="shared" si="97"/>
        <v>20700</v>
      </c>
      <c r="AA113" s="680" t="b">
        <f t="shared" si="84"/>
        <v>0</v>
      </c>
      <c r="AB113" s="682">
        <f t="shared" si="85"/>
        <v>0</v>
      </c>
      <c r="AC113" s="682"/>
      <c r="AD113" s="660"/>
      <c r="AF113" s="442">
        <v>500000</v>
      </c>
      <c r="AG113" s="683">
        <f t="shared" si="98"/>
        <v>2500</v>
      </c>
      <c r="AH113" s="682">
        <v>5</v>
      </c>
      <c r="AI113" s="682">
        <f t="shared" si="99"/>
        <v>12500</v>
      </c>
      <c r="AJ113" s="681">
        <f t="shared" si="100"/>
        <v>20700</v>
      </c>
      <c r="AK113" s="680" t="b">
        <f t="shared" si="86"/>
        <v>0</v>
      </c>
      <c r="AL113" s="682">
        <f t="shared" si="87"/>
        <v>0</v>
      </c>
      <c r="AM113" s="682"/>
      <c r="AN113" s="661"/>
      <c r="AP113" s="442"/>
      <c r="AQ113" s="690"/>
    </row>
    <row r="114" spans="1:43" x14ac:dyDescent="0.2">
      <c r="B114" s="442">
        <f>IF(B117&lt;=B113,B113+1,B117)</f>
        <v>500001</v>
      </c>
      <c r="C114" s="683">
        <f t="shared" si="88"/>
        <v>0.01</v>
      </c>
      <c r="D114" s="682">
        <v>5.4</v>
      </c>
      <c r="E114" s="682">
        <f t="shared" si="89"/>
        <v>5.4000000000000006E-2</v>
      </c>
      <c r="F114" s="681">
        <f t="shared" si="90"/>
        <v>20700.054</v>
      </c>
      <c r="G114" s="680" t="b">
        <f>IF(B117&gt;B113,TRUE,FALSE)</f>
        <v>0</v>
      </c>
      <c r="H114" s="682">
        <f>IF(G114=TRUE,(B$117-B114)/100*D114+F114,0)</f>
        <v>0</v>
      </c>
      <c r="I114" s="682"/>
      <c r="J114" s="658"/>
      <c r="L114" s="442">
        <f>IF(L117&lt;=L113,L113+1,L117)</f>
        <v>500001</v>
      </c>
      <c r="M114" s="683">
        <f t="shared" si="91"/>
        <v>0.01</v>
      </c>
      <c r="N114" s="688">
        <v>5.15</v>
      </c>
      <c r="O114" s="682">
        <f t="shared" si="93"/>
        <v>5.1500000000000004E-2</v>
      </c>
      <c r="P114" s="681">
        <f t="shared" si="94"/>
        <v>19665.032500000001</v>
      </c>
      <c r="Q114" s="680" t="b">
        <f>IF(L117&gt;L113,TRUE,FALSE)</f>
        <v>0</v>
      </c>
      <c r="R114" s="682">
        <f>IF(Q114=TRUE,(L$117-L114)/100*N114+P114,0)</f>
        <v>0</v>
      </c>
      <c r="S114" s="682"/>
      <c r="T114" s="659"/>
      <c r="V114" s="442">
        <f>IF(V117&lt;=V113,V113+1,V117)</f>
        <v>500001</v>
      </c>
      <c r="W114" s="683">
        <f t="shared" si="95"/>
        <v>0.01</v>
      </c>
      <c r="X114" s="682">
        <v>5.4</v>
      </c>
      <c r="Y114" s="682">
        <f t="shared" si="96"/>
        <v>5.4000000000000006E-2</v>
      </c>
      <c r="Z114" s="681">
        <f t="shared" si="97"/>
        <v>20700.054</v>
      </c>
      <c r="AA114" s="680" t="b">
        <f>IF(V117&gt;V113,TRUE,FALSE)</f>
        <v>0</v>
      </c>
      <c r="AB114" s="682">
        <f>IF(AA114=TRUE,(V$117-V114)/100*X114+Z114,0)</f>
        <v>0</v>
      </c>
      <c r="AC114" s="682"/>
      <c r="AD114" s="660"/>
      <c r="AF114" s="442">
        <f>IF(AF117&lt;=AF113,AF113+1,AF117)</f>
        <v>500001</v>
      </c>
      <c r="AG114" s="683">
        <f t="shared" si="98"/>
        <v>0.01</v>
      </c>
      <c r="AH114" s="682">
        <v>5.4</v>
      </c>
      <c r="AI114" s="682">
        <f t="shared" si="99"/>
        <v>5.4000000000000006E-2</v>
      </c>
      <c r="AJ114" s="681">
        <f t="shared" si="100"/>
        <v>20700.054</v>
      </c>
      <c r="AK114" s="680" t="b">
        <f>IF(AF117&gt;AF113,TRUE,FALSE)</f>
        <v>0</v>
      </c>
      <c r="AL114" s="682">
        <f>IF(AK114=TRUE,(AF$117-AF114)/100*AH114+AJ114,0)</f>
        <v>0</v>
      </c>
      <c r="AM114" s="682"/>
      <c r="AN114" s="661"/>
      <c r="AP114" s="442"/>
      <c r="AQ114" s="690"/>
    </row>
    <row r="115" spans="1:43" x14ac:dyDescent="0.2">
      <c r="B115" s="682"/>
      <c r="J115" s="658"/>
      <c r="L115" s="682"/>
      <c r="T115" s="659"/>
      <c r="V115" s="682"/>
      <c r="AD115" s="660"/>
      <c r="AF115" s="682"/>
      <c r="AN115" s="661"/>
    </row>
    <row r="116" spans="1:43" x14ac:dyDescent="0.2">
      <c r="B116" s="185" t="s">
        <v>372</v>
      </c>
      <c r="J116" s="658"/>
      <c r="L116" s="185" t="s">
        <v>372</v>
      </c>
      <c r="T116" s="659"/>
      <c r="V116" s="185" t="s">
        <v>372</v>
      </c>
      <c r="AD116" s="660"/>
      <c r="AF116" s="185" t="s">
        <v>372</v>
      </c>
      <c r="AN116" s="661"/>
    </row>
    <row r="117" spans="1:43" x14ac:dyDescent="0.2">
      <c r="B117" s="665">
        <f>'Stamp Duty'!D7</f>
        <v>0</v>
      </c>
      <c r="E117" s="442"/>
      <c r="F117" s="442"/>
      <c r="J117" s="658"/>
      <c r="L117" s="665">
        <f>'Stamp Duty'!N7</f>
        <v>0</v>
      </c>
      <c r="N117" s="442"/>
      <c r="O117" s="442"/>
      <c r="P117" s="442"/>
      <c r="T117" s="659"/>
      <c r="V117" s="665">
        <f>'Stamp Duty'!X7</f>
        <v>0</v>
      </c>
      <c r="Y117" s="442"/>
      <c r="Z117" s="442"/>
      <c r="AD117" s="660"/>
      <c r="AF117" s="665">
        <f>'Stamp Duty'!AH7</f>
        <v>0</v>
      </c>
      <c r="AI117" s="442"/>
      <c r="AJ117" s="442"/>
      <c r="AN117" s="661"/>
    </row>
    <row r="118" spans="1:43" x14ac:dyDescent="0.2">
      <c r="B118" s="185" t="s">
        <v>373</v>
      </c>
      <c r="E118" s="442"/>
      <c r="F118" s="683"/>
      <c r="J118" s="658"/>
      <c r="L118" s="185" t="s">
        <v>373</v>
      </c>
      <c r="N118" s="442"/>
      <c r="O118" s="442"/>
      <c r="P118" s="683"/>
      <c r="T118" s="659"/>
      <c r="V118" s="185" t="s">
        <v>373</v>
      </c>
      <c r="Y118" s="442"/>
      <c r="Z118" s="683"/>
      <c r="AD118" s="660"/>
      <c r="AF118" s="185" t="s">
        <v>373</v>
      </c>
      <c r="AI118" s="442"/>
      <c r="AJ118" s="683"/>
      <c r="AN118" s="661"/>
    </row>
    <row r="119" spans="1:43" x14ac:dyDescent="0.2">
      <c r="B119" s="665">
        <f>'Stamp Duty'!D8</f>
        <v>0</v>
      </c>
      <c r="F119" s="442"/>
      <c r="J119" s="658"/>
      <c r="L119" s="665">
        <f>'Stamp Duty'!N8</f>
        <v>0</v>
      </c>
      <c r="O119" s="689"/>
      <c r="P119" s="442"/>
      <c r="T119" s="659"/>
      <c r="V119" s="665">
        <f>'Stamp Duty'!X8</f>
        <v>0</v>
      </c>
      <c r="Z119" s="442"/>
      <c r="AD119" s="660"/>
      <c r="AF119" s="665">
        <f>'Stamp Duty'!AH8</f>
        <v>0</v>
      </c>
      <c r="AJ119" s="442"/>
      <c r="AN119" s="661"/>
    </row>
    <row r="120" spans="1:43" x14ac:dyDescent="0.2">
      <c r="B120" s="682">
        <f>IF(B119=0,0,IF(B119&lt;=10000,20,(B119-10000)*0.002+20))</f>
        <v>0</v>
      </c>
      <c r="E120" s="682"/>
      <c r="F120" s="682"/>
      <c r="J120" s="658"/>
      <c r="L120" s="682">
        <f>IF(L119=0,0,IF(L119&lt;=10000,20,(L119-10000)*0.002+20))</f>
        <v>0</v>
      </c>
      <c r="O120" s="682"/>
      <c r="P120" s="682"/>
      <c r="T120" s="659"/>
      <c r="V120" s="682">
        <f>IF(V119=0,0,IF(V119&lt;=10000,20,(V119-10000)*0.002+20))</f>
        <v>0</v>
      </c>
      <c r="Y120" s="682"/>
      <c r="Z120" s="682"/>
      <c r="AD120" s="660"/>
      <c r="AF120" s="682">
        <f>IF(AF119=0,0,IF(AF119&lt;=10000,20,(AF119-10000)*0.002+20))</f>
        <v>0</v>
      </c>
      <c r="AI120" s="682"/>
      <c r="AJ120" s="682"/>
      <c r="AN120" s="661"/>
    </row>
    <row r="121" spans="1:43" x14ac:dyDescent="0.2">
      <c r="B121" s="682" t="s">
        <v>374</v>
      </c>
      <c r="F121" s="682"/>
      <c r="J121" s="658"/>
      <c r="L121" s="682" t="s">
        <v>374</v>
      </c>
      <c r="P121" s="682"/>
      <c r="T121" s="659"/>
      <c r="V121" s="682" t="s">
        <v>374</v>
      </c>
      <c r="Z121" s="682"/>
      <c r="AD121" s="660"/>
      <c r="AF121" s="682" t="s">
        <v>374</v>
      </c>
      <c r="AJ121" s="682"/>
      <c r="AN121" s="661"/>
    </row>
    <row r="122" spans="1:43" x14ac:dyDescent="0.2">
      <c r="B122" s="185" t="s">
        <v>369</v>
      </c>
      <c r="J122" s="658"/>
      <c r="L122" s="185" t="s">
        <v>369</v>
      </c>
      <c r="T122" s="659"/>
      <c r="V122" s="185" t="s">
        <v>369</v>
      </c>
      <c r="AD122" s="660"/>
      <c r="AF122" s="185" t="s">
        <v>369</v>
      </c>
      <c r="AN122" s="661"/>
    </row>
    <row r="123" spans="1:43" x14ac:dyDescent="0.2">
      <c r="A123" s="193"/>
      <c r="B123" s="193"/>
      <c r="C123" s="193"/>
      <c r="D123" s="193"/>
      <c r="E123" s="193"/>
      <c r="F123" s="193"/>
      <c r="G123" s="193"/>
      <c r="H123" s="193"/>
      <c r="I123" s="193"/>
      <c r="J123" s="675"/>
      <c r="K123" s="193"/>
      <c r="L123" s="193"/>
      <c r="M123" s="193"/>
      <c r="N123" s="193"/>
      <c r="O123" s="193"/>
      <c r="P123" s="193"/>
      <c r="Q123" s="193"/>
      <c r="R123" s="193"/>
      <c r="S123" s="193"/>
      <c r="T123" s="676"/>
      <c r="U123" s="193"/>
      <c r="V123" s="193"/>
      <c r="W123" s="193"/>
      <c r="X123" s="193"/>
      <c r="Y123" s="193"/>
      <c r="Z123" s="193"/>
      <c r="AA123" s="193"/>
      <c r="AB123" s="193"/>
      <c r="AC123" s="193"/>
      <c r="AD123" s="677"/>
      <c r="AE123" s="193"/>
      <c r="AF123" s="193"/>
      <c r="AG123" s="193"/>
      <c r="AH123" s="193"/>
      <c r="AI123" s="193"/>
      <c r="AJ123" s="193"/>
      <c r="AK123" s="193"/>
      <c r="AL123" s="193"/>
      <c r="AM123" s="193"/>
      <c r="AN123" s="678"/>
    </row>
    <row r="124" spans="1:43" x14ac:dyDescent="0.2">
      <c r="J124" s="658"/>
      <c r="T124" s="659"/>
      <c r="AD124" s="660"/>
      <c r="AN124" s="661"/>
      <c r="AP124" s="308" t="s">
        <v>378</v>
      </c>
    </row>
    <row r="125" spans="1:43" ht="15.75" x14ac:dyDescent="0.25">
      <c r="B125" s="679" t="s">
        <v>313</v>
      </c>
      <c r="D125" s="185" t="s">
        <v>368</v>
      </c>
      <c r="E125" s="662" t="s">
        <v>369</v>
      </c>
      <c r="H125" s="680" t="s">
        <v>370</v>
      </c>
      <c r="I125" s="680" t="s">
        <v>371</v>
      </c>
      <c r="J125" s="658"/>
      <c r="L125" s="679" t="s">
        <v>313</v>
      </c>
      <c r="N125" s="185" t="s">
        <v>368</v>
      </c>
      <c r="O125" s="662" t="s">
        <v>369</v>
      </c>
      <c r="R125" s="680" t="s">
        <v>370</v>
      </c>
      <c r="S125" s="680" t="s">
        <v>371</v>
      </c>
      <c r="T125" s="659"/>
      <c r="V125" s="679" t="s">
        <v>313</v>
      </c>
      <c r="X125" s="185" t="s">
        <v>368</v>
      </c>
      <c r="Y125" s="662" t="s">
        <v>369</v>
      </c>
      <c r="AB125" s="680" t="s">
        <v>370</v>
      </c>
      <c r="AC125" s="680" t="s">
        <v>371</v>
      </c>
      <c r="AD125" s="660"/>
      <c r="AF125" s="679" t="s">
        <v>313</v>
      </c>
      <c r="AH125" s="185" t="s">
        <v>368</v>
      </c>
      <c r="AI125" s="662" t="s">
        <v>369</v>
      </c>
      <c r="AL125" s="680" t="s">
        <v>370</v>
      </c>
      <c r="AM125" s="680" t="s">
        <v>371</v>
      </c>
      <c r="AN125" s="661"/>
    </row>
    <row r="126" spans="1:43" x14ac:dyDescent="0.2">
      <c r="B126" s="442"/>
      <c r="H126" s="681">
        <f>SUM(H127:H136)</f>
        <v>0</v>
      </c>
      <c r="I126" s="686">
        <v>0</v>
      </c>
      <c r="J126" s="658"/>
      <c r="L126" s="442"/>
      <c r="R126" s="681">
        <f>SUM(R127:R136)</f>
        <v>0</v>
      </c>
      <c r="S126" s="681">
        <f>L142</f>
        <v>0</v>
      </c>
      <c r="T126" s="659"/>
      <c r="V126" s="442"/>
      <c r="AB126" s="681">
        <f>SUM(AB127:AB136)</f>
        <v>0</v>
      </c>
      <c r="AC126" s="681">
        <f>V142</f>
        <v>0</v>
      </c>
      <c r="AD126" s="660"/>
      <c r="AF126" s="442"/>
      <c r="AL126" s="681">
        <f>SUM(AL127:AL136)</f>
        <v>0</v>
      </c>
      <c r="AM126" s="681">
        <f>AF142</f>
        <v>0</v>
      </c>
      <c r="AN126" s="661"/>
    </row>
    <row r="127" spans="1:43" x14ac:dyDescent="0.2">
      <c r="B127" s="442">
        <v>0</v>
      </c>
      <c r="D127" s="682">
        <v>1.5</v>
      </c>
      <c r="E127" s="682">
        <v>0</v>
      </c>
      <c r="F127" s="681">
        <f>E127</f>
        <v>0</v>
      </c>
      <c r="G127" s="680" t="b">
        <f t="shared" ref="G127:G135" si="101">AND(B$139&gt;=B127,B$139&lt;B128)</f>
        <v>0</v>
      </c>
      <c r="H127" s="682">
        <f>IF(B$139=0,0,IF(G127=TRUE,20,0))</f>
        <v>0</v>
      </c>
      <c r="I127" s="682"/>
      <c r="J127" s="658"/>
      <c r="L127" s="442">
        <v>0</v>
      </c>
      <c r="N127" s="682">
        <v>1.5</v>
      </c>
      <c r="O127" s="682">
        <v>0</v>
      </c>
      <c r="P127" s="681">
        <f>O127</f>
        <v>0</v>
      </c>
      <c r="Q127" s="680" t="b">
        <f t="shared" ref="Q127:Q135" si="102">AND(L$139&gt;=L127,L$139&lt;L128)</f>
        <v>0</v>
      </c>
      <c r="R127" s="682">
        <f>IF(L$139=0,0,IF(Q127=TRUE,20,0))</f>
        <v>0</v>
      </c>
      <c r="S127" s="682"/>
      <c r="T127" s="659"/>
      <c r="V127" s="442">
        <v>0</v>
      </c>
      <c r="X127" s="682">
        <v>1.5</v>
      </c>
      <c r="Y127" s="682">
        <v>0</v>
      </c>
      <c r="Z127" s="681">
        <f>Y127</f>
        <v>0</v>
      </c>
      <c r="AA127" s="680" t="b">
        <f t="shared" ref="AA127:AA135" si="103">AND(V$139&gt;=V127,V$139&lt;V128)</f>
        <v>0</v>
      </c>
      <c r="AB127" s="682">
        <f>IF(V$139=0,0,IF(AA127=TRUE,20,0))</f>
        <v>0</v>
      </c>
      <c r="AC127" s="682"/>
      <c r="AD127" s="660"/>
      <c r="AF127" s="442">
        <v>0</v>
      </c>
      <c r="AH127" s="682">
        <v>1.5</v>
      </c>
      <c r="AI127" s="682">
        <v>0</v>
      </c>
      <c r="AJ127" s="681">
        <f>AI127</f>
        <v>0</v>
      </c>
      <c r="AK127" s="680" t="b">
        <f t="shared" ref="AK127:AK135" si="104">AND(AF$139&gt;=AF127,AF$139&lt;AF128)</f>
        <v>0</v>
      </c>
      <c r="AL127" s="682">
        <f>IF(AF$139=0,0,IF(AK127=TRUE,20,0))</f>
        <v>0</v>
      </c>
      <c r="AM127" s="682"/>
      <c r="AN127" s="661"/>
    </row>
    <row r="128" spans="1:43" x14ac:dyDescent="0.2">
      <c r="B128" s="442">
        <v>0</v>
      </c>
      <c r="C128" s="683">
        <f>B128/100</f>
        <v>0</v>
      </c>
      <c r="D128" s="682">
        <v>1.5</v>
      </c>
      <c r="E128" s="682">
        <f>D128*C128</f>
        <v>0</v>
      </c>
      <c r="F128" s="681">
        <f>E128</f>
        <v>0</v>
      </c>
      <c r="G128" s="680" t="b">
        <f t="shared" si="101"/>
        <v>0</v>
      </c>
      <c r="H128" s="682">
        <f>IF(B$139=0,0,IF(G128=TRUE,20,0))</f>
        <v>0</v>
      </c>
      <c r="I128" s="682"/>
      <c r="J128" s="658"/>
      <c r="L128" s="442">
        <v>0</v>
      </c>
      <c r="M128" s="683">
        <f>L128/100</f>
        <v>0</v>
      </c>
      <c r="N128" s="682">
        <v>1.5</v>
      </c>
      <c r="O128" s="682">
        <f>N128*M128</f>
        <v>0</v>
      </c>
      <c r="P128" s="681">
        <f>O128</f>
        <v>0</v>
      </c>
      <c r="Q128" s="680" t="b">
        <f t="shared" si="102"/>
        <v>0</v>
      </c>
      <c r="R128" s="682">
        <f>IF(L$139=0,0,IF(Q128=TRUE,20,0))</f>
        <v>0</v>
      </c>
      <c r="S128" s="682"/>
      <c r="T128" s="659"/>
      <c r="V128" s="442">
        <v>0</v>
      </c>
      <c r="W128" s="683">
        <f>V128/100</f>
        <v>0</v>
      </c>
      <c r="X128" s="682">
        <v>1.5</v>
      </c>
      <c r="Y128" s="682">
        <f>X128*W128</f>
        <v>0</v>
      </c>
      <c r="Z128" s="681">
        <f>Y128</f>
        <v>0</v>
      </c>
      <c r="AA128" s="680" t="b">
        <f t="shared" si="103"/>
        <v>0</v>
      </c>
      <c r="AB128" s="682">
        <f>IF(V$139=0,0,IF(AA128=TRUE,20,0))</f>
        <v>0</v>
      </c>
      <c r="AC128" s="682"/>
      <c r="AD128" s="660"/>
      <c r="AF128" s="442">
        <v>0</v>
      </c>
      <c r="AG128" s="683">
        <f>AF128/100</f>
        <v>0</v>
      </c>
      <c r="AH128" s="682">
        <v>1.5</v>
      </c>
      <c r="AI128" s="682">
        <f>AH128*AG128</f>
        <v>0</v>
      </c>
      <c r="AJ128" s="681">
        <f>AI128</f>
        <v>0</v>
      </c>
      <c r="AK128" s="680" t="b">
        <f t="shared" si="104"/>
        <v>0</v>
      </c>
      <c r="AL128" s="682">
        <f>IF(AF$139=0,0,IF(AK128=TRUE,20,0))</f>
        <v>0</v>
      </c>
      <c r="AM128" s="682"/>
      <c r="AN128" s="661"/>
    </row>
    <row r="129" spans="2:40" x14ac:dyDescent="0.2">
      <c r="B129" s="442">
        <v>0</v>
      </c>
      <c r="C129" s="683">
        <f t="shared" ref="C129:C136" si="105">(B129-B128)/100</f>
        <v>0</v>
      </c>
      <c r="D129" s="682">
        <v>1.5</v>
      </c>
      <c r="E129" s="682">
        <f t="shared" ref="E129:E136" si="106">C129*D129</f>
        <v>0</v>
      </c>
      <c r="F129" s="681">
        <f t="shared" ref="F129:F136" si="107">E129+F128</f>
        <v>0</v>
      </c>
      <c r="G129" s="680" t="b">
        <f t="shared" si="101"/>
        <v>1</v>
      </c>
      <c r="H129" s="682">
        <f>IF(B$139=0,0,IF(G129=TRUE,20,0))</f>
        <v>0</v>
      </c>
      <c r="I129" s="682"/>
      <c r="J129" s="658"/>
      <c r="L129" s="442">
        <v>0</v>
      </c>
      <c r="M129" s="683">
        <f t="shared" ref="M129:M136" si="108">(L129-L128)/100</f>
        <v>0</v>
      </c>
      <c r="N129" s="682">
        <v>1.5</v>
      </c>
      <c r="O129" s="682">
        <f t="shared" ref="O129:O136" si="109">M129*N129</f>
        <v>0</v>
      </c>
      <c r="P129" s="681">
        <f t="shared" ref="P129:P136" si="110">O129+P128</f>
        <v>0</v>
      </c>
      <c r="Q129" s="680" t="b">
        <f t="shared" si="102"/>
        <v>1</v>
      </c>
      <c r="R129" s="682">
        <f>IF(L$139=0,0,IF(Q129=TRUE,20,0))</f>
        <v>0</v>
      </c>
      <c r="S129" s="682"/>
      <c r="T129" s="659"/>
      <c r="V129" s="442">
        <v>0</v>
      </c>
      <c r="W129" s="683">
        <f t="shared" ref="W129:W136" si="111">(V129-V128)/100</f>
        <v>0</v>
      </c>
      <c r="X129" s="682">
        <v>1.5</v>
      </c>
      <c r="Y129" s="682">
        <f t="shared" ref="Y129:Y136" si="112">W129*X129</f>
        <v>0</v>
      </c>
      <c r="Z129" s="681">
        <f t="shared" ref="Z129:Z136" si="113">Y129+Z128</f>
        <v>0</v>
      </c>
      <c r="AA129" s="680" t="b">
        <f t="shared" si="103"/>
        <v>1</v>
      </c>
      <c r="AB129" s="682">
        <f>IF(V$139=0,0,IF(AA129=TRUE,20,0))</f>
        <v>0</v>
      </c>
      <c r="AC129" s="682"/>
      <c r="AD129" s="660"/>
      <c r="AF129" s="442">
        <v>0</v>
      </c>
      <c r="AG129" s="683">
        <f t="shared" ref="AG129:AG136" si="114">(AF129-AF128)/100</f>
        <v>0</v>
      </c>
      <c r="AH129" s="682">
        <v>1.5</v>
      </c>
      <c r="AI129" s="682">
        <f t="shared" ref="AI129:AI136" si="115">AG129*AH129</f>
        <v>0</v>
      </c>
      <c r="AJ129" s="681">
        <f t="shared" ref="AJ129:AJ136" si="116">AI129+AJ128</f>
        <v>0</v>
      </c>
      <c r="AK129" s="680" t="b">
        <f t="shared" si="104"/>
        <v>1</v>
      </c>
      <c r="AL129" s="682">
        <f>IF(AF$139=0,0,IF(AK129=TRUE,20,0))</f>
        <v>0</v>
      </c>
      <c r="AM129" s="682"/>
      <c r="AN129" s="661"/>
    </row>
    <row r="130" spans="2:40" x14ac:dyDescent="0.2">
      <c r="B130" s="442">
        <v>1300</v>
      </c>
      <c r="C130" s="683">
        <f t="shared" si="105"/>
        <v>13</v>
      </c>
      <c r="D130" s="682">
        <v>1.5</v>
      </c>
      <c r="E130" s="682">
        <f t="shared" si="106"/>
        <v>19.5</v>
      </c>
      <c r="F130" s="681">
        <f t="shared" si="107"/>
        <v>19.5</v>
      </c>
      <c r="G130" s="680" t="b">
        <f t="shared" si="101"/>
        <v>0</v>
      </c>
      <c r="H130" s="682">
        <f t="shared" ref="H130:H135" si="117">IF(G130=TRUE,(B$139-B130)/100*D131+F130,0)</f>
        <v>0</v>
      </c>
      <c r="I130" s="682"/>
      <c r="J130" s="658"/>
      <c r="L130" s="442">
        <v>1300</v>
      </c>
      <c r="M130" s="683">
        <f t="shared" si="108"/>
        <v>13</v>
      </c>
      <c r="N130" s="682">
        <v>1.5</v>
      </c>
      <c r="O130" s="688">
        <v>20</v>
      </c>
      <c r="P130" s="681">
        <f t="shared" si="110"/>
        <v>20</v>
      </c>
      <c r="Q130" s="680" t="b">
        <f t="shared" si="102"/>
        <v>0</v>
      </c>
      <c r="R130" s="682">
        <f t="shared" ref="R130:R135" si="118">IF(Q130=TRUE,(L$139-L130)/100*N131+P130,0)</f>
        <v>0</v>
      </c>
      <c r="S130" s="682"/>
      <c r="T130" s="659"/>
      <c r="V130" s="442">
        <v>1300</v>
      </c>
      <c r="W130" s="683">
        <f t="shared" si="111"/>
        <v>13</v>
      </c>
      <c r="X130" s="682">
        <v>1.5</v>
      </c>
      <c r="Y130" s="682">
        <f t="shared" si="112"/>
        <v>19.5</v>
      </c>
      <c r="Z130" s="681">
        <f t="shared" si="113"/>
        <v>19.5</v>
      </c>
      <c r="AA130" s="680" t="b">
        <f t="shared" si="103"/>
        <v>0</v>
      </c>
      <c r="AB130" s="682">
        <f t="shared" ref="AB130:AB135" si="119">IF(AA130=TRUE,(V$139-V130)/100*X131+Z130,0)</f>
        <v>0</v>
      </c>
      <c r="AC130" s="682"/>
      <c r="AD130" s="660"/>
      <c r="AF130" s="442">
        <v>1300</v>
      </c>
      <c r="AG130" s="683">
        <f t="shared" si="114"/>
        <v>13</v>
      </c>
      <c r="AH130" s="682">
        <v>1.5</v>
      </c>
      <c r="AI130" s="682">
        <f t="shared" si="115"/>
        <v>19.5</v>
      </c>
      <c r="AJ130" s="681">
        <f t="shared" si="116"/>
        <v>19.5</v>
      </c>
      <c r="AK130" s="680" t="b">
        <f t="shared" si="104"/>
        <v>0</v>
      </c>
      <c r="AL130" s="682">
        <f t="shared" ref="AL130:AL135" si="120">IF(AK130=TRUE,(AF$139-AF130)/100*AH131+AJ130,0)</f>
        <v>0</v>
      </c>
      <c r="AM130" s="682"/>
      <c r="AN130" s="661"/>
    </row>
    <row r="131" spans="2:40" x14ac:dyDescent="0.2">
      <c r="B131" s="442">
        <v>10000</v>
      </c>
      <c r="C131" s="683">
        <f t="shared" si="105"/>
        <v>87</v>
      </c>
      <c r="D131" s="682">
        <v>1.5</v>
      </c>
      <c r="E131" s="682">
        <f t="shared" si="106"/>
        <v>130.5</v>
      </c>
      <c r="F131" s="681">
        <f t="shared" si="107"/>
        <v>150</v>
      </c>
      <c r="G131" s="680" t="b">
        <f t="shared" si="101"/>
        <v>0</v>
      </c>
      <c r="H131" s="682">
        <f t="shared" si="117"/>
        <v>0</v>
      </c>
      <c r="I131" s="682"/>
      <c r="J131" s="658"/>
      <c r="L131" s="687">
        <v>25000</v>
      </c>
      <c r="M131" s="683">
        <f t="shared" si="108"/>
        <v>237</v>
      </c>
      <c r="N131" s="688">
        <v>1.75</v>
      </c>
      <c r="O131" s="682">
        <f>M131*N131+0.25</f>
        <v>415</v>
      </c>
      <c r="P131" s="681">
        <f t="shared" si="110"/>
        <v>435</v>
      </c>
      <c r="Q131" s="680" t="b">
        <f t="shared" si="102"/>
        <v>0</v>
      </c>
      <c r="R131" s="682">
        <f t="shared" si="118"/>
        <v>0</v>
      </c>
      <c r="S131" s="682"/>
      <c r="T131" s="659"/>
      <c r="V131" s="442">
        <v>10000</v>
      </c>
      <c r="W131" s="683">
        <f t="shared" si="111"/>
        <v>87</v>
      </c>
      <c r="X131" s="682">
        <v>1.5</v>
      </c>
      <c r="Y131" s="682">
        <f t="shared" si="112"/>
        <v>130.5</v>
      </c>
      <c r="Z131" s="681">
        <f t="shared" si="113"/>
        <v>150</v>
      </c>
      <c r="AA131" s="680" t="b">
        <f t="shared" si="103"/>
        <v>0</v>
      </c>
      <c r="AB131" s="682">
        <f t="shared" si="119"/>
        <v>0</v>
      </c>
      <c r="AC131" s="682"/>
      <c r="AD131" s="660"/>
      <c r="AF131" s="442">
        <v>10000</v>
      </c>
      <c r="AG131" s="683">
        <f t="shared" si="114"/>
        <v>87</v>
      </c>
      <c r="AH131" s="682">
        <v>1.5</v>
      </c>
      <c r="AI131" s="682">
        <f t="shared" si="115"/>
        <v>130.5</v>
      </c>
      <c r="AJ131" s="681">
        <f t="shared" si="116"/>
        <v>150</v>
      </c>
      <c r="AK131" s="680" t="b">
        <f t="shared" si="104"/>
        <v>0</v>
      </c>
      <c r="AL131" s="682">
        <f t="shared" si="120"/>
        <v>0</v>
      </c>
      <c r="AM131" s="682"/>
      <c r="AN131" s="661"/>
    </row>
    <row r="132" spans="2:40" x14ac:dyDescent="0.2">
      <c r="B132" s="442">
        <v>30000</v>
      </c>
      <c r="C132" s="683">
        <f t="shared" si="105"/>
        <v>200</v>
      </c>
      <c r="D132" s="682">
        <v>2</v>
      </c>
      <c r="E132" s="682">
        <f t="shared" si="106"/>
        <v>400</v>
      </c>
      <c r="F132" s="681">
        <f t="shared" si="107"/>
        <v>550</v>
      </c>
      <c r="G132" s="680" t="b">
        <f t="shared" si="101"/>
        <v>0</v>
      </c>
      <c r="H132" s="682">
        <f t="shared" si="117"/>
        <v>0</v>
      </c>
      <c r="I132" s="682"/>
      <c r="J132" s="658"/>
      <c r="L132" s="687">
        <v>75000</v>
      </c>
      <c r="M132" s="683">
        <f t="shared" si="108"/>
        <v>500</v>
      </c>
      <c r="N132" s="688">
        <v>2.25</v>
      </c>
      <c r="O132" s="682">
        <f t="shared" si="109"/>
        <v>1125</v>
      </c>
      <c r="P132" s="681">
        <f t="shared" si="110"/>
        <v>1560</v>
      </c>
      <c r="Q132" s="680" t="b">
        <f t="shared" si="102"/>
        <v>0</v>
      </c>
      <c r="R132" s="682">
        <f t="shared" si="118"/>
        <v>0</v>
      </c>
      <c r="S132" s="682"/>
      <c r="T132" s="659"/>
      <c r="V132" s="442">
        <v>30000</v>
      </c>
      <c r="W132" s="683">
        <f t="shared" si="111"/>
        <v>200</v>
      </c>
      <c r="X132" s="682">
        <v>2</v>
      </c>
      <c r="Y132" s="682">
        <f t="shared" si="112"/>
        <v>400</v>
      </c>
      <c r="Z132" s="681">
        <f t="shared" si="113"/>
        <v>550</v>
      </c>
      <c r="AA132" s="680" t="b">
        <f t="shared" si="103"/>
        <v>0</v>
      </c>
      <c r="AB132" s="682">
        <f t="shared" si="119"/>
        <v>0</v>
      </c>
      <c r="AC132" s="682"/>
      <c r="AD132" s="660"/>
      <c r="AF132" s="442">
        <v>30000</v>
      </c>
      <c r="AG132" s="683">
        <f t="shared" si="114"/>
        <v>200</v>
      </c>
      <c r="AH132" s="682">
        <v>2</v>
      </c>
      <c r="AI132" s="682">
        <f t="shared" si="115"/>
        <v>400</v>
      </c>
      <c r="AJ132" s="681">
        <f t="shared" si="116"/>
        <v>550</v>
      </c>
      <c r="AK132" s="680" t="b">
        <f t="shared" si="104"/>
        <v>0</v>
      </c>
      <c r="AL132" s="682">
        <f t="shared" si="120"/>
        <v>0</v>
      </c>
      <c r="AM132" s="682"/>
      <c r="AN132" s="661"/>
    </row>
    <row r="133" spans="2:40" x14ac:dyDescent="0.2">
      <c r="B133" s="442">
        <v>75000</v>
      </c>
      <c r="C133" s="683">
        <f t="shared" si="105"/>
        <v>450</v>
      </c>
      <c r="D133" s="682">
        <v>2.5</v>
      </c>
      <c r="E133" s="682">
        <f t="shared" si="106"/>
        <v>1125</v>
      </c>
      <c r="F133" s="681">
        <f t="shared" si="107"/>
        <v>1675</v>
      </c>
      <c r="G133" s="680" t="b">
        <f t="shared" si="101"/>
        <v>0</v>
      </c>
      <c r="H133" s="682">
        <f t="shared" si="117"/>
        <v>0</v>
      </c>
      <c r="I133" s="682"/>
      <c r="J133" s="658"/>
      <c r="L133" s="687">
        <v>200000</v>
      </c>
      <c r="M133" s="683">
        <f t="shared" si="108"/>
        <v>1250</v>
      </c>
      <c r="N133" s="688">
        <v>3.5</v>
      </c>
      <c r="O133" s="682">
        <f t="shared" si="109"/>
        <v>4375</v>
      </c>
      <c r="P133" s="681">
        <f t="shared" si="110"/>
        <v>5935</v>
      </c>
      <c r="Q133" s="680" t="b">
        <f t="shared" si="102"/>
        <v>0</v>
      </c>
      <c r="R133" s="682">
        <f t="shared" si="118"/>
        <v>0</v>
      </c>
      <c r="S133" s="682"/>
      <c r="T133" s="659"/>
      <c r="V133" s="442">
        <v>75000</v>
      </c>
      <c r="W133" s="683">
        <f t="shared" si="111"/>
        <v>450</v>
      </c>
      <c r="X133" s="682">
        <v>2.5</v>
      </c>
      <c r="Y133" s="682">
        <f t="shared" si="112"/>
        <v>1125</v>
      </c>
      <c r="Z133" s="681">
        <f t="shared" si="113"/>
        <v>1675</v>
      </c>
      <c r="AA133" s="680" t="b">
        <f t="shared" si="103"/>
        <v>0</v>
      </c>
      <c r="AB133" s="682">
        <f t="shared" si="119"/>
        <v>0</v>
      </c>
      <c r="AC133" s="682"/>
      <c r="AD133" s="660"/>
      <c r="AF133" s="442">
        <v>75000</v>
      </c>
      <c r="AG133" s="683">
        <f t="shared" si="114"/>
        <v>450</v>
      </c>
      <c r="AH133" s="682">
        <v>2.5</v>
      </c>
      <c r="AI133" s="682">
        <f t="shared" si="115"/>
        <v>1125</v>
      </c>
      <c r="AJ133" s="681">
        <f t="shared" si="116"/>
        <v>1675</v>
      </c>
      <c r="AK133" s="680" t="b">
        <f t="shared" si="104"/>
        <v>0</v>
      </c>
      <c r="AL133" s="682">
        <f t="shared" si="120"/>
        <v>0</v>
      </c>
      <c r="AM133" s="682"/>
      <c r="AN133" s="661"/>
    </row>
    <row r="134" spans="2:40" x14ac:dyDescent="0.2">
      <c r="B134" s="442">
        <v>150000</v>
      </c>
      <c r="C134" s="683">
        <f t="shared" si="105"/>
        <v>750</v>
      </c>
      <c r="D134" s="682">
        <v>3</v>
      </c>
      <c r="E134" s="682">
        <f t="shared" si="106"/>
        <v>2250</v>
      </c>
      <c r="F134" s="681">
        <f t="shared" si="107"/>
        <v>3925</v>
      </c>
      <c r="G134" s="680" t="b">
        <f t="shared" si="101"/>
        <v>0</v>
      </c>
      <c r="H134" s="682">
        <f t="shared" si="117"/>
        <v>0</v>
      </c>
      <c r="I134" s="682"/>
      <c r="J134" s="658"/>
      <c r="L134" s="687">
        <v>375000</v>
      </c>
      <c r="M134" s="683">
        <f t="shared" si="108"/>
        <v>1750</v>
      </c>
      <c r="N134" s="688">
        <v>4</v>
      </c>
      <c r="O134" s="682">
        <f t="shared" si="109"/>
        <v>7000</v>
      </c>
      <c r="P134" s="681">
        <f t="shared" si="110"/>
        <v>12935</v>
      </c>
      <c r="Q134" s="680" t="b">
        <f t="shared" si="102"/>
        <v>0</v>
      </c>
      <c r="R134" s="682">
        <f t="shared" si="118"/>
        <v>0</v>
      </c>
      <c r="S134" s="682"/>
      <c r="T134" s="659"/>
      <c r="V134" s="442">
        <v>150000</v>
      </c>
      <c r="W134" s="683">
        <f t="shared" si="111"/>
        <v>750</v>
      </c>
      <c r="X134" s="682">
        <v>3</v>
      </c>
      <c r="Y134" s="682">
        <f t="shared" si="112"/>
        <v>2250</v>
      </c>
      <c r="Z134" s="681">
        <f t="shared" si="113"/>
        <v>3925</v>
      </c>
      <c r="AA134" s="680" t="b">
        <f t="shared" si="103"/>
        <v>0</v>
      </c>
      <c r="AB134" s="682">
        <f t="shared" si="119"/>
        <v>0</v>
      </c>
      <c r="AC134" s="682"/>
      <c r="AD134" s="660"/>
      <c r="AF134" s="442">
        <v>150000</v>
      </c>
      <c r="AG134" s="683">
        <f t="shared" si="114"/>
        <v>750</v>
      </c>
      <c r="AH134" s="682">
        <v>3</v>
      </c>
      <c r="AI134" s="682">
        <f t="shared" si="115"/>
        <v>2250</v>
      </c>
      <c r="AJ134" s="681">
        <f t="shared" si="116"/>
        <v>3925</v>
      </c>
      <c r="AK134" s="680" t="b">
        <f t="shared" si="104"/>
        <v>0</v>
      </c>
      <c r="AL134" s="682">
        <f t="shared" si="120"/>
        <v>0</v>
      </c>
      <c r="AM134" s="682"/>
      <c r="AN134" s="661"/>
    </row>
    <row r="135" spans="2:40" x14ac:dyDescent="0.2">
      <c r="B135" s="442">
        <v>225000</v>
      </c>
      <c r="C135" s="683">
        <f t="shared" si="105"/>
        <v>750</v>
      </c>
      <c r="D135" s="682">
        <v>3.5</v>
      </c>
      <c r="E135" s="682">
        <f t="shared" si="106"/>
        <v>2625</v>
      </c>
      <c r="F135" s="681">
        <f t="shared" si="107"/>
        <v>6550</v>
      </c>
      <c r="G135" s="680" t="b">
        <f t="shared" si="101"/>
        <v>0</v>
      </c>
      <c r="H135" s="682">
        <f t="shared" si="117"/>
        <v>0</v>
      </c>
      <c r="I135" s="682"/>
      <c r="J135" s="658"/>
      <c r="L135" s="687">
        <v>725000</v>
      </c>
      <c r="M135" s="683">
        <f t="shared" si="108"/>
        <v>3500</v>
      </c>
      <c r="N135" s="688">
        <v>4.25</v>
      </c>
      <c r="O135" s="682">
        <f t="shared" si="109"/>
        <v>14875</v>
      </c>
      <c r="P135" s="681">
        <f t="shared" si="110"/>
        <v>27810</v>
      </c>
      <c r="Q135" s="680" t="b">
        <f t="shared" si="102"/>
        <v>0</v>
      </c>
      <c r="R135" s="682">
        <f t="shared" si="118"/>
        <v>0</v>
      </c>
      <c r="S135" s="682"/>
      <c r="T135" s="659"/>
      <c r="V135" s="442">
        <v>225000</v>
      </c>
      <c r="W135" s="683">
        <f t="shared" si="111"/>
        <v>750</v>
      </c>
      <c r="X135" s="682">
        <v>3.5</v>
      </c>
      <c r="Y135" s="682">
        <f t="shared" si="112"/>
        <v>2625</v>
      </c>
      <c r="Z135" s="681">
        <f t="shared" si="113"/>
        <v>6550</v>
      </c>
      <c r="AA135" s="680" t="b">
        <f t="shared" si="103"/>
        <v>0</v>
      </c>
      <c r="AB135" s="682">
        <f t="shared" si="119"/>
        <v>0</v>
      </c>
      <c r="AC135" s="682"/>
      <c r="AD135" s="660"/>
      <c r="AF135" s="442">
        <v>225000</v>
      </c>
      <c r="AG135" s="683">
        <f t="shared" si="114"/>
        <v>750</v>
      </c>
      <c r="AH135" s="682">
        <v>3.5</v>
      </c>
      <c r="AI135" s="682">
        <f t="shared" si="115"/>
        <v>2625</v>
      </c>
      <c r="AJ135" s="681">
        <f t="shared" si="116"/>
        <v>6550</v>
      </c>
      <c r="AK135" s="680" t="b">
        <f t="shared" si="104"/>
        <v>0</v>
      </c>
      <c r="AL135" s="682">
        <f t="shared" si="120"/>
        <v>0</v>
      </c>
      <c r="AM135" s="682"/>
      <c r="AN135" s="661"/>
    </row>
    <row r="136" spans="2:40" x14ac:dyDescent="0.2">
      <c r="B136" s="442">
        <f>IF(B139&lt;=B135,B135+1,B139)</f>
        <v>225001</v>
      </c>
      <c r="C136" s="683">
        <f t="shared" si="105"/>
        <v>0.01</v>
      </c>
      <c r="D136" s="682">
        <v>4</v>
      </c>
      <c r="E136" s="682">
        <f t="shared" si="106"/>
        <v>0.04</v>
      </c>
      <c r="F136" s="681">
        <f t="shared" si="107"/>
        <v>6550.04</v>
      </c>
      <c r="G136" s="680" t="b">
        <f>IF(B139&gt;B135,TRUE,FALSE)</f>
        <v>0</v>
      </c>
      <c r="H136" s="682">
        <f>IF(G136=TRUE,(B$139-B136)/100*D136+F136,0)</f>
        <v>0</v>
      </c>
      <c r="I136" s="682"/>
      <c r="J136" s="658"/>
      <c r="L136" s="442">
        <f>IF(L139&lt;=L135,L135+1,L139)</f>
        <v>725001</v>
      </c>
      <c r="M136" s="683">
        <f t="shared" si="108"/>
        <v>0.01</v>
      </c>
      <c r="N136" s="688">
        <v>4.5</v>
      </c>
      <c r="O136" s="682">
        <f t="shared" si="109"/>
        <v>4.4999999999999998E-2</v>
      </c>
      <c r="P136" s="681">
        <f t="shared" si="110"/>
        <v>27810.044999999998</v>
      </c>
      <c r="Q136" s="680" t="b">
        <f>IF(L139&gt;L135,TRUE,FALSE)</f>
        <v>0</v>
      </c>
      <c r="R136" s="682">
        <f>IF(Q136=TRUE,(L$139-L136)/100*N136+P136,0)</f>
        <v>0</v>
      </c>
      <c r="S136" s="682"/>
      <c r="T136" s="659"/>
      <c r="V136" s="442">
        <f>IF(V139&lt;=V135,V135+1,V139)</f>
        <v>225001</v>
      </c>
      <c r="W136" s="683">
        <f t="shared" si="111"/>
        <v>0.01</v>
      </c>
      <c r="X136" s="682">
        <v>4</v>
      </c>
      <c r="Y136" s="682">
        <f t="shared" si="112"/>
        <v>0.04</v>
      </c>
      <c r="Z136" s="681">
        <f t="shared" si="113"/>
        <v>6550.04</v>
      </c>
      <c r="AA136" s="680" t="b">
        <f>IF(V139&gt;V135,TRUE,FALSE)</f>
        <v>0</v>
      </c>
      <c r="AB136" s="682">
        <f>IF(AA136=TRUE,(V$139-V136)/100*X136+Z136,0)</f>
        <v>0</v>
      </c>
      <c r="AC136" s="682"/>
      <c r="AD136" s="660"/>
      <c r="AF136" s="442">
        <f>IF(AF139&lt;=AF135,AF135+1,AF139)</f>
        <v>225001</v>
      </c>
      <c r="AG136" s="683">
        <f t="shared" si="114"/>
        <v>0.01</v>
      </c>
      <c r="AH136" s="682">
        <v>4</v>
      </c>
      <c r="AI136" s="682">
        <f t="shared" si="115"/>
        <v>0.04</v>
      </c>
      <c r="AJ136" s="681">
        <f t="shared" si="116"/>
        <v>6550.04</v>
      </c>
      <c r="AK136" s="680" t="b">
        <f>IF(AF139&gt;AF135,TRUE,FALSE)</f>
        <v>0</v>
      </c>
      <c r="AL136" s="682">
        <f>IF(AK136=TRUE,(AF$139-AF136)/100*AH136+AJ136,0)</f>
        <v>0</v>
      </c>
      <c r="AM136" s="682"/>
      <c r="AN136" s="661"/>
    </row>
    <row r="137" spans="2:40" x14ac:dyDescent="0.2">
      <c r="B137" s="682"/>
      <c r="J137" s="658"/>
      <c r="L137" s="682"/>
      <c r="T137" s="659"/>
      <c r="V137" s="682"/>
      <c r="AD137" s="660"/>
      <c r="AF137" s="682"/>
      <c r="AN137" s="661"/>
    </row>
    <row r="138" spans="2:40" x14ac:dyDescent="0.2">
      <c r="B138" s="185" t="s">
        <v>372</v>
      </c>
      <c r="J138" s="658"/>
      <c r="L138" s="185" t="s">
        <v>372</v>
      </c>
      <c r="T138" s="659"/>
      <c r="V138" s="185" t="s">
        <v>372</v>
      </c>
      <c r="AD138" s="660"/>
      <c r="AF138" s="185" t="s">
        <v>372</v>
      </c>
      <c r="AN138" s="661"/>
    </row>
    <row r="139" spans="2:40" x14ac:dyDescent="0.2">
      <c r="B139" s="665">
        <f>'Stamp Duty'!D7</f>
        <v>0</v>
      </c>
      <c r="E139" s="442"/>
      <c r="F139" s="442"/>
      <c r="J139" s="658"/>
      <c r="L139" s="665">
        <f>N7</f>
        <v>0</v>
      </c>
      <c r="O139" s="442"/>
      <c r="P139" s="442"/>
      <c r="T139" s="659"/>
      <c r="V139" s="665">
        <f>'Stamp Duty'!X7</f>
        <v>0</v>
      </c>
      <c r="Y139" s="442"/>
      <c r="Z139" s="442"/>
      <c r="AD139" s="660"/>
      <c r="AF139" s="665">
        <f>'Stamp Duty'!AH7</f>
        <v>0</v>
      </c>
      <c r="AI139" s="442"/>
      <c r="AJ139" s="442"/>
      <c r="AN139" s="661"/>
    </row>
    <row r="140" spans="2:40" x14ac:dyDescent="0.2">
      <c r="B140" s="185" t="s">
        <v>373</v>
      </c>
      <c r="E140" s="442"/>
      <c r="F140" s="683"/>
      <c r="J140" s="658"/>
      <c r="L140" s="185" t="s">
        <v>373</v>
      </c>
      <c r="O140" s="442"/>
      <c r="P140" s="683"/>
      <c r="T140" s="659"/>
      <c r="V140" s="185" t="s">
        <v>373</v>
      </c>
      <c r="Y140" s="442"/>
      <c r="Z140" s="683"/>
      <c r="AD140" s="660"/>
      <c r="AF140" s="185" t="s">
        <v>373</v>
      </c>
      <c r="AI140" s="442"/>
      <c r="AJ140" s="683"/>
      <c r="AN140" s="661"/>
    </row>
    <row r="141" spans="2:40" x14ac:dyDescent="0.2">
      <c r="B141" s="665">
        <f>'Stamp Duty'!D8</f>
        <v>0</v>
      </c>
      <c r="F141" s="442"/>
      <c r="J141" s="658"/>
      <c r="L141" s="665">
        <f>'Stamp Duty'!N8</f>
        <v>0</v>
      </c>
      <c r="O141" s="442"/>
      <c r="P141" s="442"/>
      <c r="T141" s="659"/>
      <c r="V141" s="665">
        <f>'Stamp Duty'!X8</f>
        <v>0</v>
      </c>
      <c r="Z141" s="442"/>
      <c r="AD141" s="660"/>
      <c r="AF141" s="665">
        <f>'Stamp Duty'!AH8</f>
        <v>0</v>
      </c>
      <c r="AJ141" s="442"/>
      <c r="AN141" s="661"/>
    </row>
    <row r="142" spans="2:40" x14ac:dyDescent="0.2">
      <c r="B142" s="682">
        <f>IF(B141=0,0,IF(B141&lt;=10000,20,(B141-10000)*0.00175+20))</f>
        <v>0</v>
      </c>
      <c r="E142" s="682"/>
      <c r="F142" s="682"/>
      <c r="J142" s="658"/>
      <c r="L142" s="682">
        <f>IF(L141=0,0,IF(L141&lt;=10000,20,(L141-10000)*0.00175+20))</f>
        <v>0</v>
      </c>
      <c r="O142" s="682"/>
      <c r="P142" s="682"/>
      <c r="T142" s="659"/>
      <c r="V142" s="682">
        <f>IF(V141=0,0,IF(V141&lt;=10000,20,(V141-10000)*0.00175+20))</f>
        <v>0</v>
      </c>
      <c r="Y142" s="682"/>
      <c r="Z142" s="682"/>
      <c r="AD142" s="660"/>
      <c r="AF142" s="682">
        <f>IF(AF141=0,0,IF(AF141&lt;=10000,20,(AF141-10000)*0.00175+20))</f>
        <v>0</v>
      </c>
      <c r="AI142" s="682"/>
      <c r="AJ142" s="682"/>
      <c r="AN142" s="661"/>
    </row>
    <row r="143" spans="2:40" x14ac:dyDescent="0.2">
      <c r="B143" s="682" t="s">
        <v>374</v>
      </c>
      <c r="F143" s="682"/>
      <c r="J143" s="658"/>
      <c r="L143" s="682" t="s">
        <v>374</v>
      </c>
      <c r="P143" s="682"/>
      <c r="T143" s="659"/>
      <c r="V143" s="682" t="s">
        <v>374</v>
      </c>
      <c r="Z143" s="682"/>
      <c r="AD143" s="660"/>
      <c r="AF143" s="682" t="s">
        <v>374</v>
      </c>
      <c r="AJ143" s="682"/>
      <c r="AN143" s="661"/>
    </row>
    <row r="144" spans="2:40" x14ac:dyDescent="0.2">
      <c r="B144" s="185" t="s">
        <v>369</v>
      </c>
      <c r="J144" s="658"/>
      <c r="L144" s="185" t="s">
        <v>369</v>
      </c>
      <c r="T144" s="659"/>
      <c r="V144" s="185" t="s">
        <v>369</v>
      </c>
      <c r="AD144" s="660"/>
      <c r="AF144" s="185" t="s">
        <v>369</v>
      </c>
      <c r="AN144" s="661"/>
    </row>
    <row r="145" spans="1:42" x14ac:dyDescent="0.2">
      <c r="A145" s="193"/>
      <c r="B145" s="193"/>
      <c r="C145" s="193"/>
      <c r="D145" s="193"/>
      <c r="E145" s="193"/>
      <c r="F145" s="193"/>
      <c r="G145" s="193"/>
      <c r="H145" s="193"/>
      <c r="I145" s="193"/>
      <c r="J145" s="675"/>
      <c r="K145" s="193"/>
      <c r="L145" s="193"/>
      <c r="M145" s="193"/>
      <c r="N145" s="193"/>
      <c r="O145" s="193"/>
      <c r="P145" s="193"/>
      <c r="Q145" s="193"/>
      <c r="R145" s="193"/>
      <c r="S145" s="193"/>
      <c r="T145" s="676"/>
      <c r="U145" s="193"/>
      <c r="V145" s="193"/>
      <c r="W145" s="193"/>
      <c r="X145" s="193"/>
      <c r="Y145" s="193"/>
      <c r="Z145" s="193"/>
      <c r="AA145" s="193"/>
      <c r="AB145" s="193"/>
      <c r="AC145" s="193"/>
      <c r="AD145" s="677"/>
      <c r="AE145" s="193"/>
      <c r="AF145" s="193"/>
      <c r="AG145" s="193"/>
      <c r="AH145" s="193"/>
      <c r="AI145" s="193"/>
      <c r="AJ145" s="193"/>
      <c r="AK145" s="193"/>
      <c r="AL145" s="193"/>
      <c r="AM145" s="193"/>
      <c r="AN145" s="678"/>
    </row>
    <row r="146" spans="1:42" x14ac:dyDescent="0.2">
      <c r="J146" s="658"/>
      <c r="T146" s="659"/>
      <c r="AD146" s="660"/>
      <c r="AN146" s="661"/>
      <c r="AP146" s="308" t="s">
        <v>379</v>
      </c>
    </row>
    <row r="147" spans="1:42" ht="15.75" x14ac:dyDescent="0.25">
      <c r="B147" s="679" t="s">
        <v>314</v>
      </c>
      <c r="D147" s="185" t="s">
        <v>368</v>
      </c>
      <c r="E147" s="662" t="s">
        <v>369</v>
      </c>
      <c r="H147" s="680" t="s">
        <v>370</v>
      </c>
      <c r="I147" s="680" t="s">
        <v>371</v>
      </c>
      <c r="J147" s="658"/>
      <c r="L147" s="679" t="s">
        <v>314</v>
      </c>
      <c r="N147" s="185" t="s">
        <v>368</v>
      </c>
      <c r="O147" s="662" t="s">
        <v>369</v>
      </c>
      <c r="R147" s="680" t="s">
        <v>370</v>
      </c>
      <c r="S147" s="680" t="s">
        <v>371</v>
      </c>
      <c r="T147" s="659"/>
      <c r="V147" s="679" t="s">
        <v>314</v>
      </c>
      <c r="X147" s="185" t="s">
        <v>368</v>
      </c>
      <c r="Y147" s="662" t="s">
        <v>369</v>
      </c>
      <c r="AB147" s="680" t="s">
        <v>370</v>
      </c>
      <c r="AC147" s="680" t="s">
        <v>371</v>
      </c>
      <c r="AD147" s="660"/>
      <c r="AF147" s="679" t="s">
        <v>314</v>
      </c>
      <c r="AH147" s="185" t="s">
        <v>368</v>
      </c>
      <c r="AI147" s="662" t="s">
        <v>369</v>
      </c>
      <c r="AL147" s="680" t="s">
        <v>370</v>
      </c>
      <c r="AM147" s="680" t="s">
        <v>371</v>
      </c>
      <c r="AN147" s="661"/>
    </row>
    <row r="148" spans="1:42" x14ac:dyDescent="0.2">
      <c r="B148" s="442"/>
      <c r="H148" s="681">
        <f>SUM(H149:H158)</f>
        <v>0</v>
      </c>
      <c r="I148" s="686">
        <v>0</v>
      </c>
      <c r="J148" s="658"/>
      <c r="L148" s="442"/>
      <c r="R148" s="681">
        <f>SUM(R149:R158)</f>
        <v>0</v>
      </c>
      <c r="S148" s="681">
        <f>L164</f>
        <v>0</v>
      </c>
      <c r="T148" s="659"/>
      <c r="V148" s="442"/>
      <c r="AB148" s="681">
        <f>SUM(AB149:AB158)</f>
        <v>0</v>
      </c>
      <c r="AC148" s="681">
        <f>V164</f>
        <v>0</v>
      </c>
      <c r="AD148" s="660"/>
      <c r="AF148" s="442"/>
      <c r="AL148" s="681">
        <f>SUM(AL149:AL158)</f>
        <v>0</v>
      </c>
      <c r="AM148" s="681">
        <f>AF164</f>
        <v>0</v>
      </c>
      <c r="AN148" s="661"/>
    </row>
    <row r="149" spans="1:42" x14ac:dyDescent="0.2">
      <c r="B149" s="442">
        <v>0</v>
      </c>
      <c r="D149" s="682">
        <v>2</v>
      </c>
      <c r="E149" s="682">
        <v>0</v>
      </c>
      <c r="F149" s="681">
        <f>E149</f>
        <v>0</v>
      </c>
      <c r="G149" s="680" t="b">
        <f t="shared" ref="G149:G157" si="121">AND(B$161&gt;=B149,B$161&lt;B150)</f>
        <v>0</v>
      </c>
      <c r="H149" s="682">
        <f t="shared" ref="H149:H157" si="122">IF(G149=TRUE,(B$161-B149)/100*D150+F149,0)</f>
        <v>0</v>
      </c>
      <c r="I149" s="682"/>
      <c r="J149" s="658"/>
      <c r="L149" s="442">
        <v>0</v>
      </c>
      <c r="N149" s="682">
        <v>0.68</v>
      </c>
      <c r="O149" s="682">
        <v>0</v>
      </c>
      <c r="P149" s="681">
        <f>O149</f>
        <v>0</v>
      </c>
      <c r="Q149" s="680" t="b">
        <f t="shared" ref="Q149:Q157" si="123">AND(L$161&gt;=L149,L$161&lt;L150)</f>
        <v>0</v>
      </c>
      <c r="R149" s="682">
        <f t="shared" ref="R149:R157" si="124">IF(Q149=TRUE,(L$161-L149)/100*N150+P149,0)</f>
        <v>0</v>
      </c>
      <c r="S149" s="682"/>
      <c r="T149" s="659"/>
      <c r="V149" s="442">
        <v>0</v>
      </c>
      <c r="X149" s="682">
        <v>2</v>
      </c>
      <c r="Y149" s="682">
        <v>0</v>
      </c>
      <c r="Z149" s="681">
        <f>Y149</f>
        <v>0</v>
      </c>
      <c r="AA149" s="680" t="b">
        <f t="shared" ref="AA149:AA157" si="125">AND(V$161&gt;=V149,V$161&lt;V150)</f>
        <v>0</v>
      </c>
      <c r="AB149" s="682">
        <f t="shared" ref="AB149:AB157" si="126">IF(AA149=TRUE,(V$161-V149)/100*X150+Z149,0)</f>
        <v>0</v>
      </c>
      <c r="AC149" s="682"/>
      <c r="AD149" s="660"/>
      <c r="AF149" s="442">
        <v>0</v>
      </c>
      <c r="AH149" s="682">
        <v>2</v>
      </c>
      <c r="AI149" s="682">
        <v>0</v>
      </c>
      <c r="AJ149" s="681">
        <f>AI149</f>
        <v>0</v>
      </c>
      <c r="AK149" s="680" t="b">
        <f t="shared" ref="AK149:AK157" si="127">AND(AF$161&gt;=AF149,AF$161&lt;AF150)</f>
        <v>0</v>
      </c>
      <c r="AL149" s="682">
        <f t="shared" ref="AL149:AL157" si="128">IF(AK149=TRUE,(AF$161-AF149)/100*AH150+AJ149,0)</f>
        <v>0</v>
      </c>
      <c r="AM149" s="682"/>
      <c r="AN149" s="661"/>
    </row>
    <row r="150" spans="1:42" x14ac:dyDescent="0.2">
      <c r="B150" s="442">
        <v>0</v>
      </c>
      <c r="C150" s="683">
        <f>B150/100</f>
        <v>0</v>
      </c>
      <c r="D150" s="682">
        <v>2</v>
      </c>
      <c r="E150" s="682">
        <f>D150*C150</f>
        <v>0</v>
      </c>
      <c r="F150" s="681">
        <f>E150</f>
        <v>0</v>
      </c>
      <c r="G150" s="680" t="b">
        <f t="shared" si="121"/>
        <v>0</v>
      </c>
      <c r="H150" s="682">
        <f t="shared" si="122"/>
        <v>0</v>
      </c>
      <c r="I150" s="682"/>
      <c r="J150" s="658"/>
      <c r="L150" s="442">
        <v>0</v>
      </c>
      <c r="M150" s="683">
        <f>L150/100</f>
        <v>0</v>
      </c>
      <c r="N150" s="682">
        <v>0.68</v>
      </c>
      <c r="O150" s="682">
        <f>N150*M150</f>
        <v>0</v>
      </c>
      <c r="P150" s="681">
        <f>O150</f>
        <v>0</v>
      </c>
      <c r="Q150" s="680" t="b">
        <f t="shared" si="123"/>
        <v>0</v>
      </c>
      <c r="R150" s="682">
        <f t="shared" si="124"/>
        <v>0</v>
      </c>
      <c r="S150" s="682"/>
      <c r="T150" s="659"/>
      <c r="V150" s="442">
        <v>0</v>
      </c>
      <c r="W150" s="683">
        <f>V150/100</f>
        <v>0</v>
      </c>
      <c r="X150" s="682">
        <v>2</v>
      </c>
      <c r="Y150" s="682">
        <f>X150*W150</f>
        <v>0</v>
      </c>
      <c r="Z150" s="681">
        <f>Y150</f>
        <v>0</v>
      </c>
      <c r="AA150" s="680" t="b">
        <f t="shared" si="125"/>
        <v>0</v>
      </c>
      <c r="AB150" s="682">
        <f t="shared" si="126"/>
        <v>0</v>
      </c>
      <c r="AC150" s="682"/>
      <c r="AD150" s="660"/>
      <c r="AF150" s="442">
        <v>0</v>
      </c>
      <c r="AG150" s="683">
        <f>AF150/100</f>
        <v>0</v>
      </c>
      <c r="AH150" s="682">
        <v>2</v>
      </c>
      <c r="AI150" s="682">
        <f>AH150*AG150</f>
        <v>0</v>
      </c>
      <c r="AJ150" s="681">
        <f>AI150</f>
        <v>0</v>
      </c>
      <c r="AK150" s="680" t="b">
        <f t="shared" si="127"/>
        <v>0</v>
      </c>
      <c r="AL150" s="682">
        <f t="shared" si="128"/>
        <v>0</v>
      </c>
      <c r="AM150" s="682"/>
      <c r="AN150" s="661"/>
    </row>
    <row r="151" spans="1:42" x14ac:dyDescent="0.2">
      <c r="B151" s="442">
        <v>0</v>
      </c>
      <c r="C151" s="683">
        <f t="shared" ref="C151:C158" si="129">(B151-B150)/100</f>
        <v>0</v>
      </c>
      <c r="D151" s="682">
        <v>2</v>
      </c>
      <c r="E151" s="682">
        <f t="shared" ref="E151:E158" si="130">C151*D151</f>
        <v>0</v>
      </c>
      <c r="F151" s="681">
        <f t="shared" ref="F151:F158" si="131">E151+F150</f>
        <v>0</v>
      </c>
      <c r="G151" s="680" t="b">
        <f t="shared" si="121"/>
        <v>0</v>
      </c>
      <c r="H151" s="682">
        <f t="shared" si="122"/>
        <v>0</v>
      </c>
      <c r="I151" s="682"/>
      <c r="J151" s="658"/>
      <c r="L151" s="442">
        <v>0</v>
      </c>
      <c r="M151" s="683">
        <f t="shared" ref="M151:M157" si="132">(L151-L150)/100</f>
        <v>0</v>
      </c>
      <c r="N151" s="682">
        <v>0.68</v>
      </c>
      <c r="O151" s="682">
        <f t="shared" ref="O151:O157" si="133">M151*N151</f>
        <v>0</v>
      </c>
      <c r="P151" s="681">
        <f t="shared" ref="P151:P157" si="134">O151+P150</f>
        <v>0</v>
      </c>
      <c r="Q151" s="680" t="b">
        <f t="shared" si="123"/>
        <v>1</v>
      </c>
      <c r="R151" s="682">
        <f t="shared" si="124"/>
        <v>0</v>
      </c>
      <c r="S151" s="682"/>
      <c r="T151" s="659"/>
      <c r="V151" s="442">
        <v>0</v>
      </c>
      <c r="W151" s="683">
        <f t="shared" ref="W151:W158" si="135">(V151-V150)/100</f>
        <v>0</v>
      </c>
      <c r="X151" s="682">
        <v>2</v>
      </c>
      <c r="Y151" s="682">
        <f t="shared" ref="Y151:Y158" si="136">W151*X151</f>
        <v>0</v>
      </c>
      <c r="Z151" s="681">
        <f t="shared" ref="Z151:Z158" si="137">Y151+Z150</f>
        <v>0</v>
      </c>
      <c r="AA151" s="680" t="b">
        <f t="shared" si="125"/>
        <v>0</v>
      </c>
      <c r="AB151" s="682">
        <f t="shared" si="126"/>
        <v>0</v>
      </c>
      <c r="AC151" s="682"/>
      <c r="AD151" s="660"/>
      <c r="AF151" s="442">
        <v>0</v>
      </c>
      <c r="AG151" s="683">
        <f t="shared" ref="AG151:AG158" si="138">(AF151-AF150)/100</f>
        <v>0</v>
      </c>
      <c r="AH151" s="682">
        <v>2</v>
      </c>
      <c r="AI151" s="682">
        <f t="shared" ref="AI151:AI158" si="139">AG151*AH151</f>
        <v>0</v>
      </c>
      <c r="AJ151" s="681">
        <f t="shared" ref="AJ151:AJ158" si="140">AI151+AJ150</f>
        <v>0</v>
      </c>
      <c r="AK151" s="680" t="b">
        <f t="shared" si="127"/>
        <v>0</v>
      </c>
      <c r="AL151" s="682">
        <f t="shared" si="128"/>
        <v>0</v>
      </c>
      <c r="AM151" s="682"/>
      <c r="AN151" s="661"/>
    </row>
    <row r="152" spans="1:42" x14ac:dyDescent="0.2">
      <c r="B152" s="442">
        <v>0</v>
      </c>
      <c r="C152" s="683">
        <f t="shared" si="129"/>
        <v>0</v>
      </c>
      <c r="D152" s="682">
        <v>2</v>
      </c>
      <c r="E152" s="682">
        <f t="shared" si="130"/>
        <v>0</v>
      </c>
      <c r="F152" s="681">
        <f t="shared" si="131"/>
        <v>0</v>
      </c>
      <c r="G152" s="680" t="b">
        <f t="shared" si="121"/>
        <v>1</v>
      </c>
      <c r="H152" s="682">
        <f t="shared" si="122"/>
        <v>0</v>
      </c>
      <c r="I152" s="682"/>
      <c r="J152" s="658"/>
      <c r="L152" s="687">
        <v>200000</v>
      </c>
      <c r="M152" s="683">
        <f t="shared" si="132"/>
        <v>2000</v>
      </c>
      <c r="N152" s="682">
        <v>1.2</v>
      </c>
      <c r="O152" s="682">
        <f t="shared" si="133"/>
        <v>2400</v>
      </c>
      <c r="P152" s="681">
        <f t="shared" si="134"/>
        <v>2400</v>
      </c>
      <c r="Q152" s="680" t="b">
        <f t="shared" si="123"/>
        <v>0</v>
      </c>
      <c r="R152" s="682">
        <f t="shared" si="124"/>
        <v>0</v>
      </c>
      <c r="S152" s="682"/>
      <c r="T152" s="659"/>
      <c r="V152" s="442">
        <v>0</v>
      </c>
      <c r="W152" s="683">
        <f t="shared" si="135"/>
        <v>0</v>
      </c>
      <c r="X152" s="682">
        <v>2</v>
      </c>
      <c r="Y152" s="682">
        <f t="shared" si="136"/>
        <v>0</v>
      </c>
      <c r="Z152" s="681">
        <f t="shared" si="137"/>
        <v>0</v>
      </c>
      <c r="AA152" s="680" t="b">
        <f t="shared" si="125"/>
        <v>1</v>
      </c>
      <c r="AB152" s="682">
        <f t="shared" si="126"/>
        <v>0</v>
      </c>
      <c r="AC152" s="682"/>
      <c r="AD152" s="660"/>
      <c r="AF152" s="442">
        <v>0</v>
      </c>
      <c r="AG152" s="683">
        <f t="shared" si="138"/>
        <v>0</v>
      </c>
      <c r="AH152" s="682">
        <v>2</v>
      </c>
      <c r="AI152" s="682">
        <f t="shared" si="139"/>
        <v>0</v>
      </c>
      <c r="AJ152" s="681">
        <f t="shared" si="140"/>
        <v>0</v>
      </c>
      <c r="AK152" s="680" t="b">
        <f t="shared" si="127"/>
        <v>1</v>
      </c>
      <c r="AL152" s="682">
        <f t="shared" si="128"/>
        <v>0</v>
      </c>
      <c r="AM152" s="682"/>
      <c r="AN152" s="661"/>
    </row>
    <row r="153" spans="1:42" x14ac:dyDescent="0.2">
      <c r="B153" s="442">
        <v>100000</v>
      </c>
      <c r="C153" s="683">
        <f t="shared" si="129"/>
        <v>1000</v>
      </c>
      <c r="D153" s="682">
        <v>2</v>
      </c>
      <c r="E153" s="682">
        <f t="shared" si="130"/>
        <v>2000</v>
      </c>
      <c r="F153" s="681">
        <f t="shared" si="131"/>
        <v>2000</v>
      </c>
      <c r="G153" s="680" t="b">
        <f t="shared" si="121"/>
        <v>0</v>
      </c>
      <c r="H153" s="682">
        <f t="shared" si="122"/>
        <v>0</v>
      </c>
      <c r="I153" s="682"/>
      <c r="J153" s="658"/>
      <c r="L153" s="687">
        <v>300000</v>
      </c>
      <c r="M153" s="683">
        <f t="shared" si="132"/>
        <v>1000</v>
      </c>
      <c r="N153" s="682">
        <v>2.2000000000000002</v>
      </c>
      <c r="O153" s="682">
        <f t="shared" si="133"/>
        <v>2200</v>
      </c>
      <c r="P153" s="681">
        <f t="shared" si="134"/>
        <v>4600</v>
      </c>
      <c r="Q153" s="680" t="b">
        <f t="shared" si="123"/>
        <v>0</v>
      </c>
      <c r="R153" s="682">
        <f>IF(Q153=TRUE,(L$161-L153)/100*N154+P153,0)</f>
        <v>0</v>
      </c>
      <c r="S153" s="682"/>
      <c r="T153" s="659"/>
      <c r="V153" s="442">
        <v>100000</v>
      </c>
      <c r="W153" s="683">
        <f t="shared" si="135"/>
        <v>1000</v>
      </c>
      <c r="X153" s="682">
        <v>2</v>
      </c>
      <c r="Y153" s="682">
        <f t="shared" si="136"/>
        <v>2000</v>
      </c>
      <c r="Z153" s="681">
        <f t="shared" si="137"/>
        <v>2000</v>
      </c>
      <c r="AA153" s="680" t="b">
        <f t="shared" si="125"/>
        <v>0</v>
      </c>
      <c r="AB153" s="682">
        <f t="shared" si="126"/>
        <v>0</v>
      </c>
      <c r="AC153" s="682"/>
      <c r="AD153" s="660"/>
      <c r="AF153" s="442">
        <v>100000</v>
      </c>
      <c r="AG153" s="683">
        <f t="shared" si="138"/>
        <v>1000</v>
      </c>
      <c r="AH153" s="682">
        <v>2</v>
      </c>
      <c r="AI153" s="682">
        <f t="shared" si="139"/>
        <v>2000</v>
      </c>
      <c r="AJ153" s="681">
        <f t="shared" si="140"/>
        <v>2000</v>
      </c>
      <c r="AK153" s="680" t="b">
        <f t="shared" si="127"/>
        <v>0</v>
      </c>
      <c r="AL153" s="682">
        <f t="shared" si="128"/>
        <v>0</v>
      </c>
      <c r="AM153" s="682"/>
      <c r="AN153" s="661"/>
    </row>
    <row r="154" spans="1:42" x14ac:dyDescent="0.2">
      <c r="B154" s="442">
        <v>200000</v>
      </c>
      <c r="C154" s="683">
        <f t="shared" si="129"/>
        <v>1000</v>
      </c>
      <c r="D154" s="682">
        <v>3.5</v>
      </c>
      <c r="E154" s="682">
        <f t="shared" si="130"/>
        <v>3500</v>
      </c>
      <c r="F154" s="681">
        <f t="shared" si="131"/>
        <v>5500</v>
      </c>
      <c r="G154" s="680" t="b">
        <f t="shared" si="121"/>
        <v>0</v>
      </c>
      <c r="H154" s="682">
        <f t="shared" si="122"/>
        <v>0</v>
      </c>
      <c r="I154" s="682"/>
      <c r="J154" s="658"/>
      <c r="L154" s="687">
        <v>500000</v>
      </c>
      <c r="M154" s="683">
        <f t="shared" si="132"/>
        <v>2000</v>
      </c>
      <c r="N154" s="682">
        <v>3.4</v>
      </c>
      <c r="O154" s="682">
        <f t="shared" si="133"/>
        <v>6800</v>
      </c>
      <c r="P154" s="681">
        <f t="shared" si="134"/>
        <v>11400</v>
      </c>
      <c r="Q154" s="680" t="b">
        <f t="shared" si="123"/>
        <v>0</v>
      </c>
      <c r="R154" s="682">
        <f t="shared" si="124"/>
        <v>0</v>
      </c>
      <c r="S154" s="682"/>
      <c r="T154" s="659"/>
      <c r="V154" s="442">
        <v>200000</v>
      </c>
      <c r="W154" s="683">
        <f t="shared" si="135"/>
        <v>1000</v>
      </c>
      <c r="X154" s="682">
        <v>3.5</v>
      </c>
      <c r="Y154" s="682">
        <f t="shared" si="136"/>
        <v>3500</v>
      </c>
      <c r="Z154" s="681">
        <f t="shared" si="137"/>
        <v>5500</v>
      </c>
      <c r="AA154" s="680" t="b">
        <f t="shared" si="125"/>
        <v>0</v>
      </c>
      <c r="AB154" s="682">
        <f t="shared" si="126"/>
        <v>0</v>
      </c>
      <c r="AC154" s="682"/>
      <c r="AD154" s="660"/>
      <c r="AF154" s="442">
        <v>200000</v>
      </c>
      <c r="AG154" s="683">
        <f t="shared" si="138"/>
        <v>1000</v>
      </c>
      <c r="AH154" s="682">
        <v>3.5</v>
      </c>
      <c r="AI154" s="682">
        <f t="shared" si="139"/>
        <v>3500</v>
      </c>
      <c r="AJ154" s="681">
        <f t="shared" si="140"/>
        <v>5500</v>
      </c>
      <c r="AK154" s="680" t="b">
        <f t="shared" si="127"/>
        <v>0</v>
      </c>
      <c r="AL154" s="682">
        <f t="shared" si="128"/>
        <v>0</v>
      </c>
      <c r="AM154" s="682"/>
      <c r="AN154" s="661"/>
    </row>
    <row r="155" spans="1:42" x14ac:dyDescent="0.2">
      <c r="B155" s="442">
        <v>300000</v>
      </c>
      <c r="C155" s="683">
        <f t="shared" si="129"/>
        <v>1000</v>
      </c>
      <c r="D155" s="682">
        <v>4</v>
      </c>
      <c r="E155" s="682">
        <f t="shared" si="130"/>
        <v>4000</v>
      </c>
      <c r="F155" s="681">
        <f t="shared" si="131"/>
        <v>9500</v>
      </c>
      <c r="G155" s="680" t="b">
        <f t="shared" si="121"/>
        <v>0</v>
      </c>
      <c r="H155" s="682">
        <f t="shared" si="122"/>
        <v>0</v>
      </c>
      <c r="I155" s="682"/>
      <c r="J155" s="658"/>
      <c r="L155" s="687">
        <v>750000</v>
      </c>
      <c r="M155" s="683">
        <f t="shared" si="132"/>
        <v>2500</v>
      </c>
      <c r="N155" s="682">
        <v>4.32</v>
      </c>
      <c r="O155" s="682">
        <f t="shared" si="133"/>
        <v>10800</v>
      </c>
      <c r="P155" s="681">
        <f t="shared" si="134"/>
        <v>22200</v>
      </c>
      <c r="Q155" s="680" t="b">
        <f t="shared" si="123"/>
        <v>0</v>
      </c>
      <c r="R155" s="682">
        <f t="shared" si="124"/>
        <v>0</v>
      </c>
      <c r="S155" s="682"/>
      <c r="T155" s="659"/>
      <c r="V155" s="442">
        <v>300000</v>
      </c>
      <c r="W155" s="683">
        <f t="shared" si="135"/>
        <v>1000</v>
      </c>
      <c r="X155" s="682">
        <v>4</v>
      </c>
      <c r="Y155" s="682">
        <f t="shared" si="136"/>
        <v>4000</v>
      </c>
      <c r="Z155" s="681">
        <f t="shared" si="137"/>
        <v>9500</v>
      </c>
      <c r="AA155" s="680" t="b">
        <f t="shared" si="125"/>
        <v>0</v>
      </c>
      <c r="AB155" s="682">
        <f t="shared" si="126"/>
        <v>0</v>
      </c>
      <c r="AC155" s="682"/>
      <c r="AD155" s="660"/>
      <c r="AF155" s="442">
        <v>300000</v>
      </c>
      <c r="AG155" s="683">
        <f t="shared" si="138"/>
        <v>1000</v>
      </c>
      <c r="AH155" s="682">
        <v>4</v>
      </c>
      <c r="AI155" s="682">
        <f t="shared" si="139"/>
        <v>4000</v>
      </c>
      <c r="AJ155" s="681">
        <f t="shared" si="140"/>
        <v>9500</v>
      </c>
      <c r="AK155" s="680" t="b">
        <f t="shared" si="127"/>
        <v>0</v>
      </c>
      <c r="AL155" s="682">
        <f t="shared" si="128"/>
        <v>0</v>
      </c>
      <c r="AM155" s="682"/>
      <c r="AN155" s="661"/>
    </row>
    <row r="156" spans="1:42" x14ac:dyDescent="0.2">
      <c r="B156" s="442">
        <v>500000</v>
      </c>
      <c r="C156" s="683">
        <f t="shared" si="129"/>
        <v>2000</v>
      </c>
      <c r="D156" s="682">
        <v>5.5</v>
      </c>
      <c r="E156" s="682">
        <f t="shared" si="130"/>
        <v>11000</v>
      </c>
      <c r="F156" s="681">
        <f t="shared" si="131"/>
        <v>20500</v>
      </c>
      <c r="G156" s="680" t="b">
        <f t="shared" si="121"/>
        <v>0</v>
      </c>
      <c r="H156" s="682">
        <f t="shared" si="122"/>
        <v>0</v>
      </c>
      <c r="I156" s="682"/>
      <c r="J156" s="658"/>
      <c r="L156" s="687">
        <v>1000000</v>
      </c>
      <c r="M156" s="683">
        <f t="shared" si="132"/>
        <v>2500</v>
      </c>
      <c r="N156" s="682">
        <v>5.9</v>
      </c>
      <c r="O156" s="682">
        <f t="shared" si="133"/>
        <v>14750</v>
      </c>
      <c r="P156" s="681">
        <f t="shared" si="134"/>
        <v>36950</v>
      </c>
      <c r="Q156" s="680" t="b">
        <f t="shared" si="123"/>
        <v>0</v>
      </c>
      <c r="R156" s="682">
        <f t="shared" si="124"/>
        <v>0</v>
      </c>
      <c r="S156" s="682"/>
      <c r="T156" s="659"/>
      <c r="V156" s="442">
        <v>500000</v>
      </c>
      <c r="W156" s="683">
        <f t="shared" si="135"/>
        <v>2000</v>
      </c>
      <c r="X156" s="682">
        <v>5.5</v>
      </c>
      <c r="Y156" s="682">
        <f t="shared" si="136"/>
        <v>11000</v>
      </c>
      <c r="Z156" s="681">
        <f t="shared" si="137"/>
        <v>20500</v>
      </c>
      <c r="AA156" s="680" t="b">
        <f t="shared" si="125"/>
        <v>0</v>
      </c>
      <c r="AB156" s="682">
        <f t="shared" si="126"/>
        <v>0</v>
      </c>
      <c r="AC156" s="682"/>
      <c r="AD156" s="660"/>
      <c r="AF156" s="442">
        <v>500000</v>
      </c>
      <c r="AG156" s="683">
        <f t="shared" si="138"/>
        <v>2000</v>
      </c>
      <c r="AH156" s="682">
        <v>5.5</v>
      </c>
      <c r="AI156" s="682">
        <f t="shared" si="139"/>
        <v>11000</v>
      </c>
      <c r="AJ156" s="681">
        <f t="shared" si="140"/>
        <v>20500</v>
      </c>
      <c r="AK156" s="680" t="b">
        <f t="shared" si="127"/>
        <v>0</v>
      </c>
      <c r="AL156" s="682">
        <f t="shared" si="128"/>
        <v>0</v>
      </c>
      <c r="AM156" s="682"/>
      <c r="AN156" s="661"/>
    </row>
    <row r="157" spans="1:42" x14ac:dyDescent="0.2">
      <c r="B157" s="442">
        <v>1000000</v>
      </c>
      <c r="C157" s="683">
        <f t="shared" si="129"/>
        <v>5000</v>
      </c>
      <c r="D157" s="682">
        <v>5.75</v>
      </c>
      <c r="E157" s="682">
        <f t="shared" si="130"/>
        <v>28750</v>
      </c>
      <c r="F157" s="681">
        <f t="shared" si="131"/>
        <v>49250</v>
      </c>
      <c r="G157" s="680" t="b">
        <f t="shared" si="121"/>
        <v>0</v>
      </c>
      <c r="H157" s="682">
        <f t="shared" si="122"/>
        <v>0</v>
      </c>
      <c r="I157" s="682"/>
      <c r="J157" s="658"/>
      <c r="L157" s="687">
        <v>1455000</v>
      </c>
      <c r="M157" s="683">
        <f t="shared" si="132"/>
        <v>4550</v>
      </c>
      <c r="N157" s="682">
        <v>6.4</v>
      </c>
      <c r="O157" s="682">
        <f t="shared" si="133"/>
        <v>29120</v>
      </c>
      <c r="P157" s="681">
        <f t="shared" si="134"/>
        <v>66070</v>
      </c>
      <c r="Q157" s="680" t="b">
        <f t="shared" si="123"/>
        <v>0</v>
      </c>
      <c r="R157" s="682">
        <f t="shared" si="124"/>
        <v>0</v>
      </c>
      <c r="S157" s="682"/>
      <c r="T157" s="659"/>
      <c r="V157" s="442">
        <v>1000000</v>
      </c>
      <c r="W157" s="683">
        <f t="shared" si="135"/>
        <v>5000</v>
      </c>
      <c r="X157" s="682">
        <v>5.75</v>
      </c>
      <c r="Y157" s="682">
        <f t="shared" si="136"/>
        <v>28750</v>
      </c>
      <c r="Z157" s="681">
        <f t="shared" si="137"/>
        <v>49250</v>
      </c>
      <c r="AA157" s="680" t="b">
        <f t="shared" si="125"/>
        <v>0</v>
      </c>
      <c r="AB157" s="682">
        <f t="shared" si="126"/>
        <v>0</v>
      </c>
      <c r="AC157" s="682"/>
      <c r="AD157" s="660"/>
      <c r="AF157" s="442">
        <v>1000000</v>
      </c>
      <c r="AG157" s="683">
        <f t="shared" si="138"/>
        <v>5000</v>
      </c>
      <c r="AH157" s="682">
        <v>5.75</v>
      </c>
      <c r="AI157" s="682">
        <f t="shared" si="139"/>
        <v>28750</v>
      </c>
      <c r="AJ157" s="681">
        <f t="shared" si="140"/>
        <v>49250</v>
      </c>
      <c r="AK157" s="680" t="b">
        <f t="shared" si="127"/>
        <v>0</v>
      </c>
      <c r="AL157" s="682">
        <f t="shared" si="128"/>
        <v>0</v>
      </c>
      <c r="AM157" s="682"/>
      <c r="AN157" s="661"/>
    </row>
    <row r="158" spans="1:42" x14ac:dyDescent="0.2">
      <c r="B158" s="442">
        <f>IF(B161&lt;=B157,B157+1,B161)</f>
        <v>1000001</v>
      </c>
      <c r="C158" s="683">
        <f t="shared" si="129"/>
        <v>0.01</v>
      </c>
      <c r="D158" s="682">
        <v>6.75</v>
      </c>
      <c r="E158" s="682">
        <f t="shared" si="130"/>
        <v>6.7500000000000004E-2</v>
      </c>
      <c r="F158" s="681">
        <f t="shared" si="131"/>
        <v>49250.067499999997</v>
      </c>
      <c r="G158" s="680" t="b">
        <f>IF(B161&gt;B157,TRUE,FALSE)</f>
        <v>0</v>
      </c>
      <c r="H158" s="682">
        <f>IF(G158=TRUE,(B$161-B158)/100*D158+F158,0)</f>
        <v>0</v>
      </c>
      <c r="I158" s="682"/>
      <c r="J158" s="658"/>
      <c r="L158" s="687">
        <f>L161</f>
        <v>0</v>
      </c>
      <c r="M158" s="683">
        <f>L158/100</f>
        <v>0</v>
      </c>
      <c r="N158" s="682">
        <v>4.54</v>
      </c>
      <c r="O158" s="682">
        <f>M158*N158</f>
        <v>0</v>
      </c>
      <c r="P158" s="681">
        <f>O158</f>
        <v>0</v>
      </c>
      <c r="Q158" s="680" t="b">
        <f>IF(L161&gt;L157,TRUE,FALSE)</f>
        <v>0</v>
      </c>
      <c r="R158" s="682">
        <f>IF(Q158=TRUE,(L$161-L158)/100*N158+P158,0)</f>
        <v>0</v>
      </c>
      <c r="S158" s="682"/>
      <c r="T158" s="659"/>
      <c r="V158" s="442">
        <f>IF(V161&lt;=V157,V157+1,V161)</f>
        <v>1000001</v>
      </c>
      <c r="W158" s="683">
        <f t="shared" si="135"/>
        <v>0.01</v>
      </c>
      <c r="X158" s="682">
        <v>6.75</v>
      </c>
      <c r="Y158" s="682">
        <f t="shared" si="136"/>
        <v>6.7500000000000004E-2</v>
      </c>
      <c r="Z158" s="681">
        <f t="shared" si="137"/>
        <v>49250.067499999997</v>
      </c>
      <c r="AA158" s="680" t="b">
        <f>IF(V161&gt;V157,TRUE,FALSE)</f>
        <v>0</v>
      </c>
      <c r="AB158" s="682">
        <f>IF(AA158=TRUE,(V$161-V158)/100*X158+Z158,0)</f>
        <v>0</v>
      </c>
      <c r="AC158" s="682"/>
      <c r="AD158" s="660"/>
      <c r="AF158" s="442">
        <f>IF(AF161&lt;=AF157,AF157+1,AF161)</f>
        <v>1000001</v>
      </c>
      <c r="AG158" s="683">
        <f t="shared" si="138"/>
        <v>0.01</v>
      </c>
      <c r="AH158" s="682">
        <v>6.75</v>
      </c>
      <c r="AI158" s="682">
        <f t="shared" si="139"/>
        <v>6.7500000000000004E-2</v>
      </c>
      <c r="AJ158" s="681">
        <f t="shared" si="140"/>
        <v>49250.067499999997</v>
      </c>
      <c r="AK158" s="680" t="b">
        <f>IF(AF161&gt;AF157,TRUE,FALSE)</f>
        <v>0</v>
      </c>
      <c r="AL158" s="682">
        <f>IF(AK158=TRUE,(AF$161-AF158)/100*AH158+AJ158,0)</f>
        <v>0</v>
      </c>
      <c r="AM158" s="682"/>
      <c r="AN158" s="661"/>
    </row>
    <row r="159" spans="1:42" x14ac:dyDescent="0.2">
      <c r="B159" s="682"/>
      <c r="J159" s="658"/>
      <c r="L159" s="682"/>
      <c r="T159" s="659"/>
      <c r="V159" s="682"/>
      <c r="AD159" s="660"/>
      <c r="AF159" s="682"/>
      <c r="AN159" s="661"/>
    </row>
    <row r="160" spans="1:42" x14ac:dyDescent="0.2">
      <c r="B160" s="185" t="s">
        <v>372</v>
      </c>
      <c r="J160" s="658"/>
      <c r="L160" s="185" t="s">
        <v>372</v>
      </c>
      <c r="T160" s="659"/>
      <c r="V160" s="185" t="s">
        <v>372</v>
      </c>
      <c r="AD160" s="660"/>
      <c r="AF160" s="185" t="s">
        <v>372</v>
      </c>
      <c r="AN160" s="661"/>
    </row>
    <row r="161" spans="1:41" x14ac:dyDescent="0.2">
      <c r="B161" s="665">
        <f>'Stamp Duty'!D7</f>
        <v>0</v>
      </c>
      <c r="E161" s="442"/>
      <c r="F161" s="442"/>
      <c r="J161" s="658"/>
      <c r="L161" s="665">
        <f>N7</f>
        <v>0</v>
      </c>
      <c r="O161" s="442"/>
      <c r="P161" s="442"/>
      <c r="T161" s="659"/>
      <c r="V161" s="665">
        <f>'Stamp Duty'!X7</f>
        <v>0</v>
      </c>
      <c r="Y161" s="442"/>
      <c r="Z161" s="442"/>
      <c r="AD161" s="660"/>
      <c r="AF161" s="665">
        <f>'Stamp Duty'!AH7</f>
        <v>0</v>
      </c>
      <c r="AI161" s="442"/>
      <c r="AJ161" s="442"/>
      <c r="AN161" s="661"/>
    </row>
    <row r="162" spans="1:41" x14ac:dyDescent="0.2">
      <c r="B162" s="185" t="s">
        <v>373</v>
      </c>
      <c r="E162" s="442"/>
      <c r="F162" s="683"/>
      <c r="J162" s="658"/>
      <c r="L162" s="185" t="s">
        <v>373</v>
      </c>
      <c r="O162" s="442"/>
      <c r="P162" s="683"/>
      <c r="T162" s="659"/>
      <c r="V162" s="185" t="s">
        <v>373</v>
      </c>
      <c r="Y162" s="442"/>
      <c r="Z162" s="683"/>
      <c r="AD162" s="660"/>
      <c r="AF162" s="185" t="s">
        <v>373</v>
      </c>
      <c r="AI162" s="442"/>
      <c r="AJ162" s="683"/>
      <c r="AN162" s="661"/>
    </row>
    <row r="163" spans="1:41" x14ac:dyDescent="0.2">
      <c r="B163" s="665">
        <f>'Stamp Duty'!D8</f>
        <v>0</v>
      </c>
      <c r="F163" s="442"/>
      <c r="J163" s="658"/>
      <c r="L163" s="665">
        <f>'Stamp Duty'!N8</f>
        <v>0</v>
      </c>
      <c r="P163" s="442"/>
      <c r="T163" s="659"/>
      <c r="V163" s="665">
        <f>'Stamp Duty'!X8</f>
        <v>0</v>
      </c>
      <c r="Z163" s="442"/>
      <c r="AD163" s="660"/>
      <c r="AF163" s="665">
        <f>'Stamp Duty'!AH8</f>
        <v>0</v>
      </c>
      <c r="AJ163" s="442"/>
      <c r="AN163" s="661"/>
    </row>
    <row r="164" spans="1:41" x14ac:dyDescent="0.2">
      <c r="B164" s="682">
        <v>0</v>
      </c>
      <c r="E164" s="682"/>
      <c r="F164" s="682"/>
      <c r="J164" s="658"/>
      <c r="L164" s="682">
        <v>0</v>
      </c>
      <c r="O164" s="682"/>
      <c r="P164" s="682"/>
      <c r="T164" s="659"/>
      <c r="V164" s="682">
        <v>0</v>
      </c>
      <c r="Y164" s="682"/>
      <c r="Z164" s="682"/>
      <c r="AD164" s="660"/>
      <c r="AF164" s="682">
        <v>0</v>
      </c>
      <c r="AI164" s="682"/>
      <c r="AJ164" s="682"/>
      <c r="AN164" s="661"/>
    </row>
    <row r="165" spans="1:41" x14ac:dyDescent="0.2">
      <c r="B165" s="682" t="s">
        <v>374</v>
      </c>
      <c r="F165" s="682"/>
      <c r="J165" s="658"/>
      <c r="L165" s="682" t="s">
        <v>374</v>
      </c>
      <c r="P165" s="682"/>
      <c r="T165" s="659"/>
      <c r="V165" s="682" t="s">
        <v>374</v>
      </c>
      <c r="Z165" s="682"/>
      <c r="AD165" s="660"/>
      <c r="AF165" s="682" t="s">
        <v>374</v>
      </c>
      <c r="AJ165" s="682"/>
      <c r="AN165" s="661"/>
    </row>
    <row r="166" spans="1:41" x14ac:dyDescent="0.2">
      <c r="B166" s="185" t="s">
        <v>369</v>
      </c>
      <c r="J166" s="658"/>
      <c r="L166" s="185" t="s">
        <v>369</v>
      </c>
      <c r="T166" s="659"/>
      <c r="V166" s="185" t="s">
        <v>369</v>
      </c>
      <c r="AD166" s="660"/>
      <c r="AF166" s="185" t="s">
        <v>369</v>
      </c>
      <c r="AN166" s="661"/>
    </row>
    <row r="167" spans="1:41" x14ac:dyDescent="0.2">
      <c r="A167" s="193"/>
      <c r="B167" s="193"/>
      <c r="C167" s="193"/>
      <c r="D167" s="193"/>
      <c r="E167" s="193"/>
      <c r="F167" s="193"/>
      <c r="G167" s="193"/>
      <c r="H167" s="193"/>
      <c r="I167" s="193"/>
      <c r="J167" s="675"/>
      <c r="K167" s="193"/>
      <c r="L167" s="193"/>
      <c r="M167" s="193"/>
      <c r="N167" s="193"/>
      <c r="O167" s="193"/>
      <c r="P167" s="193"/>
      <c r="Q167" s="193"/>
      <c r="R167" s="193"/>
      <c r="S167" s="193"/>
      <c r="T167" s="676"/>
      <c r="U167" s="193"/>
      <c r="V167" s="193"/>
      <c r="W167" s="193"/>
      <c r="X167" s="193"/>
      <c r="Y167" s="193"/>
      <c r="Z167" s="193"/>
      <c r="AA167" s="193"/>
      <c r="AB167" s="193"/>
      <c r="AC167" s="193"/>
      <c r="AD167" s="677"/>
      <c r="AE167" s="193"/>
      <c r="AF167" s="193"/>
      <c r="AG167" s="193"/>
      <c r="AH167" s="193"/>
      <c r="AI167" s="193"/>
      <c r="AJ167" s="193"/>
      <c r="AK167" s="193"/>
      <c r="AL167" s="193"/>
      <c r="AM167" s="193"/>
      <c r="AN167" s="678"/>
    </row>
    <row r="171" spans="1:41" x14ac:dyDescent="0.2">
      <c r="R171" s="691"/>
    </row>
    <row r="172" spans="1:41" x14ac:dyDescent="0.2">
      <c r="Q172" s="442"/>
      <c r="R172" s="442"/>
      <c r="AO172" s="442"/>
    </row>
    <row r="173" spans="1:41" x14ac:dyDescent="0.2">
      <c r="R173" s="689"/>
    </row>
  </sheetData>
  <sheetProtection algorithmName="SHA-512" hashValue="nbZgVGDxGbTo2UX/4xYAesxfcd1tblr7dwGZjvhufHCo0X8YExewDb5k5CVkO+G07Rz6zFAxU/gvkF14O1iZnQ==" saltValue="aXfIyFjkFbE2ICdOB2h0jg==" spinCount="100000" sheet="1" objects="1" scenarios="1"/>
  <dataValidations count="2">
    <dataValidation type="list" allowBlank="1" showInputMessage="1" showErrorMessage="1" sqref="O21 AI41 AI61 AI21 Y41 Y61 Y21 O41 O61 E21 E41 E61 AS41" xr:uid="{095FAD0B-9906-4FFB-9BC4-F8A01AF991C2}">
      <formula1>$L$24:$L$25</formula1>
    </dataValidation>
    <dataValidation type="list" allowBlank="1" showInputMessage="1" showErrorMessage="1" sqref="O81 AI103 AI125 AI147 AI81 Y103 Y125 Y147 Y81 O103 O125 O147 E81 E103 E125 E147" xr:uid="{6C2151E7-A095-40BB-A7B8-D15C36135EC9}">
      <formula1>$L$26:$L$27</formula1>
    </dataValidation>
  </dataValidations>
  <printOptions horizontalCentered="1"/>
  <pageMargins left="0.31496062992125984" right="0.23622047244094491" top="0.39370078740157483" bottom="0.31496062992125984" header="0.23622047244094491" footer="0.15748031496062992"/>
  <pageSetup paperSize="9" scale="2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F432FDCD9A4A458C49E8DD7111D671" ma:contentTypeVersion="21" ma:contentTypeDescription="Create a new document." ma:contentTypeScope="" ma:versionID="918fad8371e94f3c32844ef9036fc87f">
  <xsd:schema xmlns:xsd="http://www.w3.org/2001/XMLSchema" xmlns:xs="http://www.w3.org/2001/XMLSchema" xmlns:p="http://schemas.microsoft.com/office/2006/metadata/properties" xmlns:ns1="http://schemas.microsoft.com/sharepoint/v3" xmlns:ns2="d03b0fb9-c069-4405-b655-ee2a3a31fcfa" xmlns:ns3="16794042-f50d-40d8-8f25-baeb3c8a1787" xmlns:ns4="http://schemas.microsoft.com/sharepoint/v4" targetNamespace="http://schemas.microsoft.com/office/2006/metadata/properties" ma:root="true" ma:fieldsID="a90bac1120be28a8c5b50abbbee87b58" ns1:_="" ns2:_="" ns3:_="" ns4:_="">
    <xsd:import namespace="http://schemas.microsoft.com/sharepoint/v3"/>
    <xsd:import namespace="d03b0fb9-c069-4405-b655-ee2a3a31fcfa"/>
    <xsd:import namespace="16794042-f50d-40d8-8f25-baeb3c8a1787"/>
    <xsd:import namespace="http://schemas.microsoft.com/sharepoint/v4"/>
    <xsd:element name="properties">
      <xsd:complexType>
        <xsd:sequence>
          <xsd:element name="documentManagement">
            <xsd:complexType>
              <xsd:all>
                <xsd:element ref="ns2:Type_x0020_of_x0020_document"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4:IconOverlay" minOccurs="0"/>
                <xsd:element ref="ns2:MediaServiceObjectDetectorVersions" minOccurs="0"/>
                <xsd:element ref="ns2:lcf76f155ced4ddcb4097134ff3c332f" minOccurs="0"/>
                <xsd:element ref="ns3:TaxCatchAll"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3b0fb9-c069-4405-b655-ee2a3a31fcfa" elementFormDefault="qualified">
    <xsd:import namespace="http://schemas.microsoft.com/office/2006/documentManagement/types"/>
    <xsd:import namespace="http://schemas.microsoft.com/office/infopath/2007/PartnerControls"/>
    <xsd:element name="Type_x0020_of_x0020_document" ma:index="8" nillable="true" ma:displayName="Type of document" ma:default="Add a choice or select a choice" ma:format="Dropdown" ma:internalName="Type_x0020_of_x0020_document">
      <xsd:simpleType>
        <xsd:union memberTypes="dms:Text">
          <xsd:simpleType>
            <xsd:restriction base="dms:Choice">
              <xsd:enumeration value="Add a choice or select a choice"/>
              <xsd:enumeration value="Residential - Loans Rate Sheet"/>
              <xsd:enumeration value="Quiz"/>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e2ea2ae-3d74-41e5-a805-aa0191440732"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794042-f50d-40d8-8f25-baeb3c8a178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879767a-83d2-4387-8c1d-4ce163b68080}" ma:internalName="TaxCatchAll" ma:showField="CatchAllData" ma:web="16794042-f50d-40d8-8f25-baeb3c8a17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ype_x0020_of_x0020_document xmlns="d03b0fb9-c069-4405-b655-ee2a3a31fcfa">Add a choice or select a choice</Type_x0020_of_x0020_document>
    <_ip_UnifiedCompliancePolicyUIAction xmlns="http://schemas.microsoft.com/sharepoint/v3" xsi:nil="true"/>
    <TaxCatchAll xmlns="16794042-f50d-40d8-8f25-baeb3c8a1787" xsi:nil="true"/>
    <IconOverlay xmlns="http://schemas.microsoft.com/sharepoint/v4" xsi:nil="true"/>
    <_ip_UnifiedCompliancePolicyProperties xmlns="http://schemas.microsoft.com/sharepoint/v3" xsi:nil="true"/>
    <lcf76f155ced4ddcb4097134ff3c332f xmlns="d03b0fb9-c069-4405-b655-ee2a3a31fc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E611EC-EB95-4680-B77A-B0DAE66BB078}"/>
</file>

<file path=customXml/itemProps2.xml><?xml version="1.0" encoding="utf-8"?>
<ds:datastoreItem xmlns:ds="http://schemas.openxmlformats.org/officeDocument/2006/customXml" ds:itemID="{72A13A8E-9DB9-4EAB-A60D-91EA3CAF05FC}"/>
</file>

<file path=customXml/itemProps3.xml><?xml version="1.0" encoding="utf-8"?>
<ds:datastoreItem xmlns:ds="http://schemas.openxmlformats.org/officeDocument/2006/customXml" ds:itemID="{0A01BCCE-68FD-4099-B298-C98347146F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Commercial ICR-DSCR Calculator</vt:lpstr>
      <vt:lpstr>SMSF ICR-DSCR Loan Calculator</vt:lpstr>
      <vt:lpstr>WALE Calculator</vt:lpstr>
      <vt:lpstr>Property Purchase Calculator</vt:lpstr>
      <vt:lpstr>Fee Calculator</vt:lpstr>
      <vt:lpstr>Fees</vt:lpstr>
      <vt:lpstr>Stamp Duty</vt:lpstr>
      <vt:lpstr>ComBranding</vt:lpstr>
      <vt:lpstr>ComLogoLocation</vt:lpstr>
      <vt:lpstr>ComVersion</vt:lpstr>
      <vt:lpstr>FeeBranding</vt:lpstr>
      <vt:lpstr>FeeLogoLocation</vt:lpstr>
      <vt:lpstr>FeeVersion</vt:lpstr>
      <vt:lpstr>GST</vt:lpstr>
      <vt:lpstr>PPBranding</vt:lpstr>
      <vt:lpstr>PPVersion</vt:lpstr>
      <vt:lpstr>'Commercial ICR-DSCR Calculator'!Print_Area</vt:lpstr>
      <vt:lpstr>'Fee Calculator'!Print_Area</vt:lpstr>
      <vt:lpstr>'Property Purchase Calculator'!Print_Area</vt:lpstr>
      <vt:lpstr>'WALE Calculator'!Print_Area</vt:lpstr>
      <vt:lpstr>ProLogoLocation</vt:lpstr>
      <vt:lpstr>SMSF</vt:lpstr>
      <vt:lpstr>SMSFBranding</vt:lpstr>
      <vt:lpstr>SMSFLogolocation2</vt:lpstr>
      <vt:lpstr>SMSFVersion</vt:lpstr>
      <vt:lpstr>SMSLogoLocation</vt:lpstr>
      <vt:lpstr>WALEBranding</vt:lpstr>
      <vt:lpstr>WALEVersion</vt:lpstr>
      <vt:lpstr>WALLogoLocation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Zeng</dc:creator>
  <cp:lastModifiedBy>Christine Zeng</cp:lastModifiedBy>
  <dcterms:created xsi:type="dcterms:W3CDTF">2025-11-14T05:38:22Z</dcterms:created>
  <dcterms:modified xsi:type="dcterms:W3CDTF">2025-11-14T05:39:22Z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0x010100BAF432FDCD9A4A458C49E8DD7111D671</vt:lpwstr>
  </property>
</Properties>
</file>